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5440" windowHeight="14025" firstSheet="4" activeTab="9"/>
  </bookViews>
  <sheets>
    <sheet name="EDA Capital" sheetId="1" r:id="rId1"/>
    <sheet name="Pooled TIF-Redevelopment" sheetId="2" r:id="rId2"/>
    <sheet name="Pooled TIF-Housing" sheetId="3" r:id="rId3"/>
    <sheet name="CIF" sheetId="4" r:id="rId4"/>
    <sheet name="Facilities Maintenance" sheetId="9" r:id="rId5"/>
    <sheet name="Fac Maint-Capital Only" sheetId="11" r:id="rId6"/>
    <sheet name="Capital &amp; Equip Fund" sheetId="5" r:id="rId7"/>
    <sheet name="CAP EQUIP" sheetId="17" r:id="rId8"/>
    <sheet name="Park Development" sheetId="6" r:id="rId9"/>
    <sheet name="Open Space, Trails" sheetId="7" r:id="rId10"/>
    <sheet name="Neighborhood Park Improv" sheetId="10" r:id="rId11"/>
    <sheet name="SBM-20" sheetId="8" r:id="rId12"/>
    <sheet name="SBM-20 Condensed" sheetId="18" r:id="rId13"/>
    <sheet name="Water" sheetId="12" r:id="rId14"/>
    <sheet name="Water - CIP" sheetId="19" r:id="rId15"/>
    <sheet name="Sewer" sheetId="13" r:id="rId16"/>
    <sheet name="Sewer - CIP" sheetId="20" r:id="rId17"/>
    <sheet name="Storm" sheetId="14" r:id="rId18"/>
    <sheet name="Pavement" sheetId="15" r:id="rId19"/>
    <sheet name="Summary by Funding Source" sheetId="16" r:id="rId20"/>
  </sheets>
  <externalReferences>
    <externalReference r:id="rId23"/>
    <externalReference r:id="rId24"/>
    <externalReference r:id="rId25"/>
    <externalReference r:id="rId26"/>
  </externalReferences>
  <definedNames>
    <definedName name="_xlnm.Print_Area" localSheetId="9">'Open Space, Trails'!$A$1:$U$65</definedName>
    <definedName name="_xlnm.Print_Area" localSheetId="8">'Park Development'!$A$1:$Q$66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4.xml><?xml version="1.0" encoding="utf-8"?>
<comments xmlns="http://schemas.openxmlformats.org/spreadsheetml/2006/main">
  <authors>
    <author>WBrown</author>
  </authors>
  <commentList>
    <comment ref="H16" authorId="0">
      <text>
        <r>
          <rPr>
            <b/>
            <sz val="9"/>
            <rFont val="Tahoma"/>
            <family val="2"/>
          </rPr>
          <t>WBrown:</t>
        </r>
        <r>
          <rPr>
            <sz val="9"/>
            <rFont val="Tahoma"/>
            <family val="2"/>
          </rPr>
          <t xml:space="preserve">
Well house doors =  $  7,000
De-humidifiers =       $ 9,600
Water utility truck = $45,400</t>
        </r>
      </text>
    </comment>
  </commentList>
</comments>
</file>

<file path=xl/comments15.xml><?xml version="1.0" encoding="utf-8"?>
<comments xmlns="http://schemas.openxmlformats.org/spreadsheetml/2006/main">
  <authors>
    <author>WBrown</author>
  </authors>
  <commentList>
    <comment ref="H16" authorId="0">
      <text>
        <r>
          <rPr>
            <b/>
            <sz val="9"/>
            <rFont val="Tahoma"/>
            <family val="2"/>
          </rPr>
          <t>WBrown:</t>
        </r>
        <r>
          <rPr>
            <sz val="9"/>
            <rFont val="Tahoma"/>
            <family val="2"/>
          </rPr>
          <t xml:space="preserve">
Well house doors =  $  7,000
De-humidifiers =       $ 9,600
Water utility truck = $45,400</t>
        </r>
      </text>
    </comment>
  </commentList>
</comments>
</file>

<file path=xl/comments16.xml><?xml version="1.0" encoding="utf-8"?>
<comments xmlns="http://schemas.openxmlformats.org/spreadsheetml/2006/main">
  <authors>
    <author>WBrown</author>
  </authors>
  <commentList>
    <comment ref="H43" authorId="0">
      <text>
        <r>
          <rPr>
            <b/>
            <sz val="9"/>
            <rFont val="Tahoma"/>
            <family val="2"/>
          </rPr>
          <t>WBrown:</t>
        </r>
        <r>
          <rPr>
            <sz val="9"/>
            <rFont val="Tahoma"/>
            <family val="2"/>
          </rPr>
          <t xml:space="preserve">
Well house doors =  $  7,000
De-humidifiers =       $ 9,600
Water utility truck = $45,400</t>
        </r>
      </text>
    </comment>
  </commentList>
</comments>
</file>

<file path=xl/comments17.xml><?xml version="1.0" encoding="utf-8"?>
<comments xmlns="http://schemas.openxmlformats.org/spreadsheetml/2006/main">
  <authors>
    <author>WBrown</author>
  </authors>
  <commentList>
    <comment ref="H42" authorId="0">
      <text>
        <r>
          <rPr>
            <b/>
            <sz val="9"/>
            <rFont val="Tahoma"/>
            <family val="2"/>
          </rPr>
          <t>WBrown:</t>
        </r>
        <r>
          <rPr>
            <sz val="9"/>
            <rFont val="Tahoma"/>
            <family val="2"/>
          </rPr>
          <t xml:space="preserve">
Well house doors =  $  7,000
De-humidifiers =       $ 9,600
Water utility truck = $45,400</t>
        </r>
      </text>
    </comment>
  </commentList>
</comments>
</file>

<file path=xl/comments4.xml><?xml version="1.0" encoding="utf-8"?>
<comments xmlns="http://schemas.openxmlformats.org/spreadsheetml/2006/main">
  <authors>
    <author>Larson, Dalton</author>
  </authors>
  <commentList>
    <comment ref="D18" authorId="0">
      <text>
        <r>
          <rPr>
            <b/>
            <sz val="9"/>
            <rFont val="Tahoma"/>
            <family val="2"/>
          </rPr>
          <t>Larson, Dalton:</t>
        </r>
        <r>
          <rPr>
            <sz val="9"/>
            <rFont val="Tahoma"/>
            <family val="2"/>
          </rPr>
          <t xml:space="preserve">
Write-Off - Remaining SA Tax Forfeiture - Is this coded to the right spot?</t>
        </r>
      </text>
    </comment>
  </commentList>
</comments>
</file>

<file path=xl/comments5.xml><?xml version="1.0" encoding="utf-8"?>
<comments xmlns="http://schemas.openxmlformats.org/spreadsheetml/2006/main">
  <authors>
    <author>Larson, Dalton</author>
  </authors>
  <commentList>
    <comment ref="A61" authorId="0">
      <text>
        <r>
          <rPr>
            <b/>
            <sz val="9"/>
            <rFont val="Tahoma"/>
            <family val="2"/>
          </rPr>
          <t>Larson, Dalton:</t>
        </r>
        <r>
          <rPr>
            <sz val="9"/>
            <rFont val="Tahoma"/>
            <family val="2"/>
          </rPr>
          <t xml:space="preserve">
Water Fountain/Bottle Filler, Sink/Wash Station, Air Hand Dryers
</t>
        </r>
      </text>
    </comment>
    <comment ref="A65" authorId="0">
      <text>
        <r>
          <rPr>
            <b/>
            <sz val="9"/>
            <rFont val="Tahoma"/>
            <family val="2"/>
          </rPr>
          <t>Larson, Dalton:</t>
        </r>
        <r>
          <rPr>
            <sz val="9"/>
            <rFont val="Tahoma"/>
            <family val="2"/>
          </rPr>
          <t xml:space="preserve">
Light Fixtures/LED, Office/Cube Space, Security System Software</t>
        </r>
      </text>
    </comment>
    <comment ref="G70" authorId="0">
      <text>
        <r>
          <rPr>
            <b/>
            <sz val="9"/>
            <rFont val="Tahoma"/>
            <family val="2"/>
          </rPr>
          <t>Larson, Dalton:</t>
        </r>
        <r>
          <rPr>
            <sz val="9"/>
            <rFont val="Tahoma"/>
            <family val="2"/>
          </rPr>
          <t xml:space="preserve">
Roof Repair/Replacement - Question as to whether this is realistic or not: considering funding sources.</t>
        </r>
      </text>
    </comment>
    <comment ref="H71" authorId="0">
      <text>
        <r>
          <rPr>
            <b/>
            <sz val="9"/>
            <rFont val="Tahoma"/>
            <family val="2"/>
          </rPr>
          <t>Larson, Dalton:</t>
        </r>
        <r>
          <rPr>
            <sz val="9"/>
            <rFont val="Tahoma"/>
            <family val="2"/>
          </rPr>
          <t xml:space="preserve">
A/C Units for Computer Room - Not sure if PW or City Hall?</t>
        </r>
      </text>
    </comment>
    <comment ref="F73" authorId="0">
      <text>
        <r>
          <rPr>
            <b/>
            <sz val="9"/>
            <rFont val="Tahoma"/>
            <family val="2"/>
          </rPr>
          <t>Larson, Dalton:</t>
        </r>
        <r>
          <rPr>
            <sz val="9"/>
            <rFont val="Tahoma"/>
            <family val="2"/>
          </rPr>
          <t xml:space="preserve">
Exterior Caulking, Carpet Replacement, Seal/Patch flooring repairs - Unheated Garage</t>
        </r>
      </text>
    </comment>
    <comment ref="G73" authorId="0">
      <text>
        <r>
          <rPr>
            <b/>
            <sz val="9"/>
            <rFont val="Tahoma"/>
            <family val="2"/>
          </rPr>
          <t>Larson, Dalton:</t>
        </r>
        <r>
          <rPr>
            <sz val="9"/>
            <rFont val="Tahoma"/>
            <family val="2"/>
          </rPr>
          <t xml:space="preserve">
Exterior Caulking, VAV Controllers</t>
        </r>
      </text>
    </comment>
    <comment ref="H73" authorId="0">
      <text>
        <r>
          <rPr>
            <b/>
            <sz val="9"/>
            <rFont val="Tahoma"/>
            <family val="2"/>
          </rPr>
          <t>Larson, Dalton:</t>
        </r>
        <r>
          <rPr>
            <sz val="9"/>
            <rFont val="Tahoma"/>
            <family val="2"/>
          </rPr>
          <t xml:space="preserve">
Carpet Replacement, VAV Controllers</t>
        </r>
      </text>
    </comment>
    <comment ref="I73" authorId="0">
      <text>
        <r>
          <rPr>
            <b/>
            <sz val="9"/>
            <rFont val="Tahoma"/>
            <family val="2"/>
          </rPr>
          <t>Larson, Dalton:</t>
        </r>
        <r>
          <rPr>
            <sz val="9"/>
            <rFont val="Tahoma"/>
            <family val="2"/>
          </rPr>
          <t xml:space="preserve">
VAV Controllers, Replacement Pumps
</t>
        </r>
      </text>
    </comment>
    <comment ref="J73" authorId="0">
      <text>
        <r>
          <rPr>
            <b/>
            <sz val="9"/>
            <rFont val="Tahoma"/>
            <family val="2"/>
          </rPr>
          <t>Larson, Dalton:</t>
        </r>
        <r>
          <rPr>
            <sz val="9"/>
            <rFont val="Tahoma"/>
            <family val="2"/>
          </rPr>
          <t xml:space="preserve">
Atrium &amp; Exterior Painting, Exhaust Fan Replacements</t>
        </r>
      </text>
    </comment>
  </commentList>
</comments>
</file>

<file path=xl/sharedStrings.xml><?xml version="1.0" encoding="utf-8"?>
<sst xmlns="http://schemas.openxmlformats.org/spreadsheetml/2006/main" count="1275" uniqueCount="642">
  <si>
    <t>5-Year CIP</t>
  </si>
  <si>
    <t>Projects</t>
  </si>
  <si>
    <t>Total Projects</t>
  </si>
  <si>
    <t>Revenue</t>
  </si>
  <si>
    <t>Total Revenue</t>
  </si>
  <si>
    <t>Net Annual Activity</t>
  </si>
  <si>
    <t>Ending Balance</t>
  </si>
  <si>
    <t>Land sales</t>
  </si>
  <si>
    <t>Miscellaneous</t>
  </si>
  <si>
    <t>Investment income</t>
  </si>
  <si>
    <t>Tax Increments</t>
  </si>
  <si>
    <t>Austin Street Infrastructure</t>
  </si>
  <si>
    <t>Pheasant Ridge Dr. improvements</t>
  </si>
  <si>
    <t>University Ave/Kmart</t>
  </si>
  <si>
    <t>Pooled TIF Redevelopment</t>
  </si>
  <si>
    <t>Pooled TIF Housing</t>
  </si>
  <si>
    <t>Harpers Street area</t>
  </si>
  <si>
    <t>Admin costs</t>
  </si>
  <si>
    <t>Capital Improvement Fund</t>
  </si>
  <si>
    <t>Beginning Cash/Investment Balance</t>
  </si>
  <si>
    <t>Senior Activity Center</t>
  </si>
  <si>
    <t>ADMINISTRATION</t>
  </si>
  <si>
    <t xml:space="preserve">City Manager </t>
  </si>
  <si>
    <t>Personal computer</t>
  </si>
  <si>
    <t>City Clerk</t>
  </si>
  <si>
    <t>Voting booths</t>
  </si>
  <si>
    <t>Human Resources</t>
  </si>
  <si>
    <t>Personal computer with 24" monitor</t>
  </si>
  <si>
    <t>Communications</t>
  </si>
  <si>
    <t>Finance</t>
  </si>
  <si>
    <t>Personal computer (2)</t>
  </si>
  <si>
    <t>Information Technology</t>
  </si>
  <si>
    <t>22" monitor (3)</t>
  </si>
  <si>
    <t>24" monitor (3)</t>
  </si>
  <si>
    <t>Portable projector</t>
  </si>
  <si>
    <t>UPS - server room</t>
  </si>
  <si>
    <t>Disaster recovery</t>
  </si>
  <si>
    <t>SAFETY SERVICES</t>
  </si>
  <si>
    <t>Administration</t>
  </si>
  <si>
    <t>HP G9 server</t>
  </si>
  <si>
    <t>Fax</t>
  </si>
  <si>
    <t>Evidence</t>
  </si>
  <si>
    <t>Professional Standards</t>
  </si>
  <si>
    <t>Patrol</t>
  </si>
  <si>
    <t>Marked squad sedans</t>
  </si>
  <si>
    <t>Unmarked squads</t>
  </si>
  <si>
    <t>Body Cam systems/Tasers</t>
  </si>
  <si>
    <t>Squad camera support</t>
  </si>
  <si>
    <t>Shooting range trailier</t>
  </si>
  <si>
    <t>Locker expansion</t>
  </si>
  <si>
    <t>Roll Call Audio/Video system</t>
  </si>
  <si>
    <t>Investigations</t>
  </si>
  <si>
    <t>22" monitor + standing monitor mount (7)</t>
  </si>
  <si>
    <t>Police Records</t>
  </si>
  <si>
    <t>Personal computer (4)</t>
  </si>
  <si>
    <t>Copier</t>
  </si>
  <si>
    <t>Crime Prevention</t>
  </si>
  <si>
    <t>Quint (5-year lease)</t>
  </si>
  <si>
    <t>New equipment for Quint</t>
  </si>
  <si>
    <t>UTV</t>
  </si>
  <si>
    <t>Staff car</t>
  </si>
  <si>
    <t>Security upgrade #2</t>
  </si>
  <si>
    <t>Station infrastructure</t>
  </si>
  <si>
    <t>Radios</t>
  </si>
  <si>
    <t>RMS/Computers</t>
  </si>
  <si>
    <t>Training facility part I</t>
  </si>
  <si>
    <t>AED</t>
  </si>
  <si>
    <t>Fitness equipment</t>
  </si>
  <si>
    <t>Personal Protection Equipment</t>
  </si>
  <si>
    <t>Emergency Preparedness</t>
  </si>
  <si>
    <t>EOC furniture upgrade</t>
  </si>
  <si>
    <t>Community Service</t>
  </si>
  <si>
    <t>Community Standards</t>
  </si>
  <si>
    <t>Welded steel workshop cabinets</t>
  </si>
  <si>
    <t>PUBLIC SERVICES</t>
  </si>
  <si>
    <t>Public Services Admin.</t>
  </si>
  <si>
    <t>Public Works Administration</t>
  </si>
  <si>
    <t>Server replacement</t>
  </si>
  <si>
    <t>WiFi expansion</t>
  </si>
  <si>
    <t>Street Maintenance</t>
  </si>
  <si>
    <t>Tandem axle log loader truck</t>
  </si>
  <si>
    <t>F450 with dump box and plow</t>
  </si>
  <si>
    <t>Wheel loader and attachments</t>
  </si>
  <si>
    <t>Parks Maintenance</t>
  </si>
  <si>
    <t>Field groomer/infield dragger</t>
  </si>
  <si>
    <t>Compact tractor</t>
  </si>
  <si>
    <t>Large utility tractor</t>
  </si>
  <si>
    <t>Groundmaster 580 mower</t>
  </si>
  <si>
    <t>Resurface Miracle League field</t>
  </si>
  <si>
    <t>Zero turn mower (2)</t>
  </si>
  <si>
    <t>Equipment Maintenance</t>
  </si>
  <si>
    <t>Fleet Maintenance vehicle</t>
  </si>
  <si>
    <t>Engineering</t>
  </si>
  <si>
    <t>Traffic counters (2)</t>
  </si>
  <si>
    <t>Engineering workstation (2)</t>
  </si>
  <si>
    <t>Copier replacement</t>
  </si>
  <si>
    <t>GIS</t>
  </si>
  <si>
    <t>Plotter</t>
  </si>
  <si>
    <t>Workstation</t>
  </si>
  <si>
    <t>Performance laptop &amp; accessories</t>
  </si>
  <si>
    <t>Recreation</t>
  </si>
  <si>
    <t xml:space="preserve">Personal computer with (2) 24" monitor </t>
  </si>
  <si>
    <t>Sign at LAC</t>
  </si>
  <si>
    <t>Electronic sign @ Aquatore</t>
  </si>
  <si>
    <t>15 passenger van</t>
  </si>
  <si>
    <t>COMMUNITY DEVELOPMENT</t>
  </si>
  <si>
    <t>Planning</t>
  </si>
  <si>
    <t>Building Inspections</t>
  </si>
  <si>
    <t>Personal computer (5)</t>
  </si>
  <si>
    <t>iPad + case (9)</t>
  </si>
  <si>
    <t>Vehicle replacement (3)</t>
  </si>
  <si>
    <t>Disposal of assets</t>
  </si>
  <si>
    <t>Debt proceeds</t>
  </si>
  <si>
    <t>Transfers In/Other</t>
  </si>
  <si>
    <t>Capital Equipment Fund</t>
  </si>
  <si>
    <t>LEGISLATIVE</t>
  </si>
  <si>
    <t>Mayor &amp; Council</t>
  </si>
  <si>
    <t>Computers</t>
  </si>
  <si>
    <t>Totals</t>
  </si>
  <si>
    <t>Revenues</t>
  </si>
  <si>
    <t>Park Dedication Fees</t>
  </si>
  <si>
    <t>Interest earnings</t>
  </si>
  <si>
    <t>Other/misc.</t>
  </si>
  <si>
    <t>Fogerty repayment (Aquatore)</t>
  </si>
  <si>
    <t>CIF Transfer</t>
  </si>
  <si>
    <t>Internal Borrowing</t>
  </si>
  <si>
    <t>Other Funds</t>
  </si>
  <si>
    <t>Total Revenues</t>
  </si>
  <si>
    <t>WAC Repayment</t>
  </si>
  <si>
    <t>Park Dedication Credits to Paxmar</t>
  </si>
  <si>
    <t>Parks Master Plan</t>
  </si>
  <si>
    <t xml:space="preserve">Aquatore Park </t>
  </si>
  <si>
    <t>Aquatore Park Playground</t>
  </si>
  <si>
    <t>Aurelia Park</t>
  </si>
  <si>
    <t>Fillmore Park</t>
  </si>
  <si>
    <t>Security Lighting</t>
  </si>
  <si>
    <t>Park Improvements</t>
  </si>
  <si>
    <t>Savanna Grove</t>
  </si>
  <si>
    <t>Legacy Creek</t>
  </si>
  <si>
    <t>Lakeside Commons Park Parking Lot Imp.</t>
  </si>
  <si>
    <t>Loch Ness Park</t>
  </si>
  <si>
    <t>BBC</t>
  </si>
  <si>
    <t>Field lights</t>
  </si>
  <si>
    <t>Airport Park</t>
  </si>
  <si>
    <t>Restrooms</t>
  </si>
  <si>
    <t>Playground replacement</t>
  </si>
  <si>
    <t>Happy Acres</t>
  </si>
  <si>
    <t>London park</t>
  </si>
  <si>
    <t>Playground</t>
  </si>
  <si>
    <t>JP Athletic Complex</t>
  </si>
  <si>
    <t>Hockey rink</t>
  </si>
  <si>
    <t>Rink lights</t>
  </si>
  <si>
    <t>Portable warming house trailer</t>
  </si>
  <si>
    <t>Skateboard park</t>
  </si>
  <si>
    <t>Happy Acres dog park</t>
  </si>
  <si>
    <t>Ostmans</t>
  </si>
  <si>
    <t>Quincy</t>
  </si>
  <si>
    <t>New Parks</t>
  </si>
  <si>
    <t>Sanctuary Preserve</t>
  </si>
  <si>
    <t>Harpers Park (W of Harpers)</t>
  </si>
  <si>
    <t>E of Lexington Ave (N of Main)</t>
  </si>
  <si>
    <t>Lexington Athletic Complex</t>
  </si>
  <si>
    <t>Portable hockey boards</t>
  </si>
  <si>
    <t>Playground expansion</t>
  </si>
  <si>
    <t>W of Lexington, N of Main</t>
  </si>
  <si>
    <t>Dog Park</t>
  </si>
  <si>
    <t>Increase (Decrease) in WC Reserve</t>
  </si>
  <si>
    <t>Open Space Capital Improvement Plan</t>
  </si>
  <si>
    <t>Other</t>
  </si>
  <si>
    <t>Open Space Management</t>
  </si>
  <si>
    <t>Sites 5,6,8,9,10,11 Buckthorn management</t>
  </si>
  <si>
    <t>Weed Management</t>
  </si>
  <si>
    <t>CCES Contract</t>
  </si>
  <si>
    <t>BWS Restoration</t>
  </si>
  <si>
    <t>SBM Fire Capital Plan</t>
  </si>
  <si>
    <t>Payments to SBM</t>
  </si>
  <si>
    <t>Capital</t>
  </si>
  <si>
    <t>Debt Service</t>
  </si>
  <si>
    <t>Debt Proceeds (2019=COB distribution of DS funds)</t>
  </si>
  <si>
    <t>Total Funds Available (Inc. Reserves)</t>
  </si>
  <si>
    <t>Quint</t>
  </si>
  <si>
    <t>Unit 13 (Grass unit)</t>
  </si>
  <si>
    <t>New Station 1</t>
  </si>
  <si>
    <t>New Station 4</t>
  </si>
  <si>
    <t>Utility 14</t>
  </si>
  <si>
    <t>Engine 1</t>
  </si>
  <si>
    <t>Engine 3</t>
  </si>
  <si>
    <t>Engine 4</t>
  </si>
  <si>
    <t>Engine 5</t>
  </si>
  <si>
    <t>Engine 6</t>
  </si>
  <si>
    <t>Utility 16</t>
  </si>
  <si>
    <t>Staff Vehicle</t>
  </si>
  <si>
    <t>Public Ed Vehicle</t>
  </si>
  <si>
    <t>Security upgrade</t>
  </si>
  <si>
    <t>Station 2 boiler</t>
  </si>
  <si>
    <t>Radio replacement</t>
  </si>
  <si>
    <t>Joint training facility</t>
  </si>
  <si>
    <t>Bunker gear replacement (Year 3)</t>
  </si>
  <si>
    <t>PPE</t>
  </si>
  <si>
    <t>Tender 3</t>
  </si>
  <si>
    <t>Tender 6</t>
  </si>
  <si>
    <t>New Apparatus Equipment</t>
  </si>
  <si>
    <t>Rescue vehicles (2 mini)</t>
  </si>
  <si>
    <t>Auto extrication</t>
  </si>
  <si>
    <t>LED Upgrade</t>
  </si>
  <si>
    <t>Washers/Dryers</t>
  </si>
  <si>
    <t>SCBA</t>
  </si>
  <si>
    <t>Y/E Reserve Balance</t>
  </si>
  <si>
    <t>Total Annual Contributions</t>
  </si>
  <si>
    <t xml:space="preserve">BLAINE EDA CAPITAL FUND </t>
  </si>
  <si>
    <t>Actual</t>
  </si>
  <si>
    <t>Budget</t>
  </si>
  <si>
    <t>Monitor for Jon H.</t>
  </si>
  <si>
    <t>Refrigerator/Freezer Combo</t>
  </si>
  <si>
    <t>Trak-It</t>
  </si>
  <si>
    <t>Other revenue</t>
  </si>
  <si>
    <t>Copier/Printers</t>
  </si>
  <si>
    <t>Legal Fees</t>
  </si>
  <si>
    <t>Transfers Out</t>
  </si>
  <si>
    <t>2016 Actual*</t>
  </si>
  <si>
    <t>2017 Actual*</t>
  </si>
  <si>
    <t>Beginning Working Capital Balance</t>
  </si>
  <si>
    <t>REVENUES</t>
  </si>
  <si>
    <t>Tax levy</t>
  </si>
  <si>
    <t>User Fees</t>
  </si>
  <si>
    <t>Maintenance chargebacks</t>
  </si>
  <si>
    <t>Replacement chargebacks</t>
  </si>
  <si>
    <t>External</t>
  </si>
  <si>
    <t>Investment Earnings</t>
  </si>
  <si>
    <t>Transfer In (From Unrestricted Reserve in GF)</t>
  </si>
  <si>
    <t>TOTAL REVENUE</t>
  </si>
  <si>
    <t>EXPENDITURES</t>
  </si>
  <si>
    <t>Operating</t>
  </si>
  <si>
    <t>Wages</t>
  </si>
  <si>
    <t>OT</t>
  </si>
  <si>
    <t>PT</t>
  </si>
  <si>
    <t>Clothing Allowance</t>
  </si>
  <si>
    <t>PERA</t>
  </si>
  <si>
    <t>FICA</t>
  </si>
  <si>
    <t>MEDI</t>
  </si>
  <si>
    <t>Cafeteria</t>
  </si>
  <si>
    <t>Workers Comp</t>
  </si>
  <si>
    <t>Office supplies</t>
  </si>
  <si>
    <t>Cleaning supplies</t>
  </si>
  <si>
    <t>Clothing/uniforms</t>
  </si>
  <si>
    <t>General supplies</t>
  </si>
  <si>
    <t>Small tools, minor equipment</t>
  </si>
  <si>
    <t>Computer parts, components</t>
  </si>
  <si>
    <t>Professional services</t>
  </si>
  <si>
    <t>Telephone/internet</t>
  </si>
  <si>
    <t>DEED Positively MN</t>
  </si>
  <si>
    <t>Electric</t>
  </si>
  <si>
    <t>Gas</t>
  </si>
  <si>
    <t>Municipal utilities</t>
  </si>
  <si>
    <t>Buildings maintenance***</t>
  </si>
  <si>
    <t>Machinery/equipment maintenance***</t>
  </si>
  <si>
    <t>Other contractual</t>
  </si>
  <si>
    <t>Depreciation</t>
  </si>
  <si>
    <t>Schools/conferences</t>
  </si>
  <si>
    <t>Dues/subscriptions</t>
  </si>
  <si>
    <t>Licenses</t>
  </si>
  <si>
    <t>Other charges</t>
  </si>
  <si>
    <t>Gen Fund Admin Fees</t>
  </si>
  <si>
    <t>Capital**</t>
  </si>
  <si>
    <t>Public Works Facility</t>
  </si>
  <si>
    <t>City Hall</t>
  </si>
  <si>
    <t>Furniture/fixtures</t>
  </si>
  <si>
    <t>Other equipment</t>
  </si>
  <si>
    <t>TOTAL EXPENSES</t>
  </si>
  <si>
    <t>Increase (Decrease) in WC bal.</t>
  </si>
  <si>
    <t>Ending Working Capital Balance</t>
  </si>
  <si>
    <t>2018 Budget*</t>
  </si>
  <si>
    <t>2018 Projected*</t>
  </si>
  <si>
    <t>Office Equipment &amp; Furnishings</t>
  </si>
  <si>
    <t>Tax Levy</t>
  </si>
  <si>
    <t xml:space="preserve">BBC - miracle field </t>
  </si>
  <si>
    <t>BBC - playground replacement</t>
  </si>
  <si>
    <t>Centennial Green tennis courts resurface</t>
  </si>
  <si>
    <t>Quail Creek playground replacement</t>
  </si>
  <si>
    <t>Quail Creek BB court resurfacing</t>
  </si>
  <si>
    <t>Happy Acres - pedestrian bridge</t>
  </si>
  <si>
    <t>Happy Acres - parking lot</t>
  </si>
  <si>
    <t>Happy acres - playground replacement</t>
  </si>
  <si>
    <t>Jefferson - BB courts sealcoting</t>
  </si>
  <si>
    <t>Sunnyside parking improvements</t>
  </si>
  <si>
    <t>President - Park replacement</t>
  </si>
  <si>
    <t>Van Buren Playground</t>
  </si>
  <si>
    <t>Northwood playground replacement</t>
  </si>
  <si>
    <t>Hidden Ponds - Playground Replacement</t>
  </si>
  <si>
    <t>Oak Creek Park- Playground Replacement</t>
  </si>
  <si>
    <t>Palmer - Playground Replacement</t>
  </si>
  <si>
    <t>Xylite - Playground Replacement</t>
  </si>
  <si>
    <t>Centennial - Playground Replacement</t>
  </si>
  <si>
    <t>Fort Lion - Playground Replacement</t>
  </si>
  <si>
    <t>Deacons - Playground Replacement</t>
  </si>
  <si>
    <t>Suzanne Park - Playground Replacement</t>
  </si>
  <si>
    <t>West Lake - Playground Replacement</t>
  </si>
  <si>
    <t>Kane Meadows - Playground Replacement</t>
  </si>
  <si>
    <t>Carrara East Park - Tennis Courts</t>
  </si>
  <si>
    <t>Carrara East Park - Playground Equipment</t>
  </si>
  <si>
    <t>Carrara East Park - Concrete Curb</t>
  </si>
  <si>
    <t>Carrara East Park - Wood Fiber surface</t>
  </si>
  <si>
    <t>Mary Elizabeth Park - Playground Replacement</t>
  </si>
  <si>
    <t>Swan Park - Playground Replacement</t>
  </si>
  <si>
    <t>Kane Meadows - Basketball Courts resurfacing</t>
  </si>
  <si>
    <t>Xylite - Tennis Court surface repair</t>
  </si>
  <si>
    <t>Jefferson - Basketball Pole/Hoop</t>
  </si>
  <si>
    <t>Quail Creek - Basketball Hoop install</t>
  </si>
  <si>
    <t>Territorial Park - Tennis Court repair</t>
  </si>
  <si>
    <t>Hidden Ponds - Soil testing for Pickleball Courts</t>
  </si>
  <si>
    <t>Warming House Trailer</t>
  </si>
  <si>
    <t>Internal Service Fund                                        Facilities Maintenance</t>
  </si>
  <si>
    <t>Capital Improvement Bonds</t>
  </si>
  <si>
    <t>City Hall Expansion/Improvement project</t>
  </si>
  <si>
    <t>New Senior Activity Center project</t>
  </si>
  <si>
    <t>Transfer In (Capital Improvement Fund)**</t>
  </si>
  <si>
    <t>Buildings Improvements</t>
  </si>
  <si>
    <t>Squad laptops</t>
  </si>
  <si>
    <t>Laser Shot System</t>
  </si>
  <si>
    <t>Software Migration</t>
  </si>
  <si>
    <t>Quail Creek - Sidewalk</t>
  </si>
  <si>
    <t>Neighborhood Park Logo Decals for Park Signs</t>
  </si>
  <si>
    <t>**City Council approved use of $5.4 million for construction of the new Senior Center</t>
  </si>
  <si>
    <t>Total Personal Services</t>
  </si>
  <si>
    <t>Total Depreciation</t>
  </si>
  <si>
    <t>Total Other Expenses</t>
  </si>
  <si>
    <t>Total Supplies/Equipment</t>
  </si>
  <si>
    <t>Fire (Programmed at 75.63% - Blaine share)</t>
  </si>
  <si>
    <t>Auto Extrication</t>
  </si>
  <si>
    <t>Total Expenses</t>
  </si>
  <si>
    <t>Backup/DR System Upgrade (located at PW)</t>
  </si>
  <si>
    <t>Server Room Wiring Update</t>
  </si>
  <si>
    <t>File Server Replacements</t>
  </si>
  <si>
    <t>Computer/Printer Equipment Replacement</t>
  </si>
  <si>
    <t>Digital recorder (5)</t>
  </si>
  <si>
    <t>Squad video replacement program (5)</t>
  </si>
  <si>
    <t>Ballistic shield replacement program (6)</t>
  </si>
  <si>
    <t>Tactical Vests</t>
  </si>
  <si>
    <t>Patrol Bike (2)</t>
  </si>
  <si>
    <t>9mm handgun (75)</t>
  </si>
  <si>
    <t>Rugged Squad laptop (14)</t>
  </si>
  <si>
    <t>Detective Vehicle (2)</t>
  </si>
  <si>
    <t>Defibrillator (5)</t>
  </si>
  <si>
    <t>"Mustang" suit (5)</t>
  </si>
  <si>
    <t>800 MHz radio (22)</t>
  </si>
  <si>
    <t>Marked SUV squad (5)</t>
  </si>
  <si>
    <t>Preliminary breath test (PBT) unit (3)</t>
  </si>
  <si>
    <t>Unmarked Admin vehicle (2)</t>
  </si>
  <si>
    <t>Rescue vehicle (2)</t>
  </si>
  <si>
    <t>New Apparatus equipment</t>
  </si>
  <si>
    <t>Washer/Dryers</t>
  </si>
  <si>
    <t>EOC Upgrade</t>
  </si>
  <si>
    <t>Warning Siren</t>
  </si>
  <si>
    <t>CSO marked SUV (2)</t>
  </si>
  <si>
    <t>Inspections staff vehicles (2)</t>
  </si>
  <si>
    <t>938 Cat Wheel Loader w/ plow attachment</t>
  </si>
  <si>
    <t>Single-axle plow truck</t>
  </si>
  <si>
    <t>F250 w/ dump box and plow</t>
  </si>
  <si>
    <t>F150 pickup</t>
  </si>
  <si>
    <t>Tractor front plow &amp; wing</t>
  </si>
  <si>
    <t>Flail cutter attachment</t>
  </si>
  <si>
    <t>Trackless Sidewalk Machine</t>
  </si>
  <si>
    <t>Wausau plow attachment</t>
  </si>
  <si>
    <t>Tandem axle plow truck</t>
  </si>
  <si>
    <t>Large Toro mower</t>
  </si>
  <si>
    <t>Water Tanker</t>
  </si>
  <si>
    <t>F450 w/ dump box (for chipper)</t>
  </si>
  <si>
    <t>Line Lazer (for field lining)</t>
  </si>
  <si>
    <t>Turf Blower</t>
  </si>
  <si>
    <t>Brushcat rotary cutter</t>
  </si>
  <si>
    <t>John Deere 955 Tractor w/70A Loader</t>
  </si>
  <si>
    <t>Toro Groundsmaster 580-D</t>
  </si>
  <si>
    <t>Line Striper (Graco Model # 248862) (2)</t>
  </si>
  <si>
    <t>Ford F250 4x4 w/ Plow (2)</t>
  </si>
  <si>
    <t>HDV Zamboni</t>
  </si>
  <si>
    <t>John Deere Gator HPX 4x4</t>
  </si>
  <si>
    <t>John Deere 5420 Utility Tractor</t>
  </si>
  <si>
    <t>Ford 1/2 Ton 4x2 Pickup</t>
  </si>
  <si>
    <t>John Deere LX178 Riding mower</t>
  </si>
  <si>
    <t>Toolcat 5600 F-Series w/ Blower</t>
  </si>
  <si>
    <t>Engineer Tech vehicle</t>
  </si>
  <si>
    <t>Shower room in Fire garage</t>
  </si>
  <si>
    <t>Permit tracking software</t>
  </si>
  <si>
    <t>Inspection SUV (3)</t>
  </si>
  <si>
    <t>Total Expense</t>
  </si>
  <si>
    <t>Internal Service Fund - Facilities Maintenance</t>
  </si>
  <si>
    <t xml:space="preserve">  Building Improvements</t>
  </si>
  <si>
    <t xml:space="preserve">  City Hall</t>
  </si>
  <si>
    <t xml:space="preserve">  Public Works Facility</t>
  </si>
  <si>
    <t xml:space="preserve">  City Hall Expansion/Improvement project</t>
  </si>
  <si>
    <t xml:space="preserve">  New Senior Activity Center**</t>
  </si>
  <si>
    <t>Beginning Balance</t>
  </si>
  <si>
    <t>Expenses</t>
  </si>
  <si>
    <t>Neighborhood Park Improvement Fund (Fund 402)</t>
  </si>
  <si>
    <t>Transfer In</t>
  </si>
  <si>
    <t>Trail Improvements</t>
  </si>
  <si>
    <t>London Park - Playground Equipment</t>
  </si>
  <si>
    <t>London Park - BB Court Sealcoating</t>
  </si>
  <si>
    <t>Jim Peterson AC - BB Court Sealcoating</t>
  </si>
  <si>
    <t>Jim Peterson AC - Basketball hoop</t>
  </si>
  <si>
    <t>Jim Peterson AC - Tennis Court Resurfacing</t>
  </si>
  <si>
    <t>Beginning Reserves</t>
  </si>
  <si>
    <t>Total Debt Service</t>
  </si>
  <si>
    <t>Total Capital Payments</t>
  </si>
  <si>
    <t>Capital Expenditures</t>
  </si>
  <si>
    <t>Total Capital Expenditures</t>
  </si>
  <si>
    <t xml:space="preserve"> Total Expenditures</t>
  </si>
  <si>
    <t>Blaine (75.63%)</t>
  </si>
  <si>
    <t>Mounds View (16.37%)</t>
  </si>
  <si>
    <t>Spring Lake Park (8.00%)</t>
  </si>
  <si>
    <t>CITY OF BLAINE, MINNESOTA</t>
  </si>
  <si>
    <t>SUPPLEMENTAL INFORMATION</t>
  </si>
  <si>
    <t>CAPITAL BUDGET</t>
  </si>
  <si>
    <t>WATER UTILITY FUND - 601</t>
  </si>
  <si>
    <t>WAC Fees</t>
  </si>
  <si>
    <t>Debt Proceeds</t>
  </si>
  <si>
    <t>Capital Equipment</t>
  </si>
  <si>
    <t>A770 Bobcat Upgrade</t>
  </si>
  <si>
    <t>Mobile Home Park Meter</t>
  </si>
  <si>
    <t>Humidifier Replacement</t>
  </si>
  <si>
    <t>Gate Valve maint Trailer</t>
  </si>
  <si>
    <t>Ford 450 - 1 ton, Box &amp; Hoist</t>
  </si>
  <si>
    <t>Ford F350 Regular Cab 4x4</t>
  </si>
  <si>
    <t>Ford F350 4x4 SuperCab Pickup</t>
  </si>
  <si>
    <t>Ford F350 4x4</t>
  </si>
  <si>
    <t>Ford F350 4x4 SuperCab Pickup - WATER</t>
  </si>
  <si>
    <t>Capital Projects</t>
  </si>
  <si>
    <t>Watermain additions to NE Well Field</t>
  </si>
  <si>
    <t>Filter Media at treatment plants 2 &amp; 3</t>
  </si>
  <si>
    <t>Sand Separators at treatment plants 2 &amp; 3</t>
  </si>
  <si>
    <t>Ventilation Improvements at treatment plants</t>
  </si>
  <si>
    <t>Tower 3 Recondition</t>
  </si>
  <si>
    <t>Treatment Plants ventilation</t>
  </si>
  <si>
    <t>New Wells 18-21</t>
  </si>
  <si>
    <t>Wellhead Protection Plan Update</t>
  </si>
  <si>
    <t>Glenn Meadows/Section 23 WM</t>
  </si>
  <si>
    <t>Parkside North 2nd Addition</t>
  </si>
  <si>
    <t>Facility security improvements - Proj #</t>
  </si>
  <si>
    <t>Well Redevelopment  Proj 17-18 (Wells 3&amp;4)</t>
  </si>
  <si>
    <t xml:space="preserve">     Well 3 Emergency Repair</t>
  </si>
  <si>
    <t xml:space="preserve">     Well 4 Repair</t>
  </si>
  <si>
    <t>New Well Siting (03-15)</t>
  </si>
  <si>
    <t>Well 9 Maintenance</t>
  </si>
  <si>
    <t>Wells 6 &amp; 11</t>
  </si>
  <si>
    <t xml:space="preserve">     Radio Installation _HydroCorp</t>
  </si>
  <si>
    <t xml:space="preserve">     Meter Replacement - HydroCorp</t>
  </si>
  <si>
    <t xml:space="preserve">     Comm Module Purchase - Core&amp;Main</t>
  </si>
  <si>
    <t xml:space="preserve">     iPerl Meter Purchase - Core&amp;Main</t>
  </si>
  <si>
    <t xml:space="preserve">     Recycling of old radios &amp; batteries</t>
  </si>
  <si>
    <t>Wellhouse rehabilitation - 16-22</t>
  </si>
  <si>
    <t xml:space="preserve">     Well Inspection Coordination - Barr</t>
  </si>
  <si>
    <t xml:space="preserve">     Wellhouse Upgrade Design Ph1 - Barr</t>
  </si>
  <si>
    <t xml:space="preserve">     Well Insp 1, 2, 5, 7, 9, 10, 14 - Berg-Casw</t>
  </si>
  <si>
    <t xml:space="preserve">     Well Insp 8, 11, 16</t>
  </si>
  <si>
    <t xml:space="preserve">     Wellhouse 11 &amp; 14 - Proj 16-22</t>
  </si>
  <si>
    <t xml:space="preserve">     Wellhouses 1 &amp; 2</t>
  </si>
  <si>
    <t xml:space="preserve">     Wellhouses 5 &amp; 7</t>
  </si>
  <si>
    <t xml:space="preserve">     Wellhouse 8</t>
  </si>
  <si>
    <t xml:space="preserve">     Wellhouse 9</t>
  </si>
  <si>
    <t xml:space="preserve">     Wellhouse 10</t>
  </si>
  <si>
    <t xml:space="preserve">     Wellhouse 16</t>
  </si>
  <si>
    <t>Lexington Metering</t>
  </si>
  <si>
    <t>Water Treatment Plant #4</t>
  </si>
  <si>
    <t xml:space="preserve">     Design - Barr/BMI</t>
  </si>
  <si>
    <t xml:space="preserve">     Construction Admin - Barr/BMI</t>
  </si>
  <si>
    <t xml:space="preserve">     Construction   </t>
  </si>
  <si>
    <t>SCADA system improvements</t>
  </si>
  <si>
    <t xml:space="preserve">     Design - Barr Eng</t>
  </si>
  <si>
    <t xml:space="preserve">     Software Integration - Automatic Systems</t>
  </si>
  <si>
    <t xml:space="preserve">     Hardware Installation &amp; Commissioning</t>
  </si>
  <si>
    <t>Water Tower Improvements</t>
  </si>
  <si>
    <t xml:space="preserve">     Tower #2 - Cleaning &amp; Inspection</t>
  </si>
  <si>
    <t xml:space="preserve">     Tower #4 - Cleaning &amp; Inspection</t>
  </si>
  <si>
    <t xml:space="preserve">     Tower #3 - Cleaning &amp; Inspection</t>
  </si>
  <si>
    <t xml:space="preserve">     Reservoir - Cleaning &amp; Inspection</t>
  </si>
  <si>
    <t xml:space="preserve">     Tower #1 - Cleaning &amp; Inspection</t>
  </si>
  <si>
    <t>Public Improvements-Trunk Oversizing</t>
  </si>
  <si>
    <t xml:space="preserve">     Lever St</t>
  </si>
  <si>
    <t xml:space="preserve">     Wagamon Ranch 3rd, 132nd</t>
  </si>
  <si>
    <t xml:space="preserve">     Zest Ext, 131st</t>
  </si>
  <si>
    <t xml:space="preserve">     131st - Lexington to Lever</t>
  </si>
  <si>
    <t>Watermain Replacement w/ Street Projects</t>
  </si>
  <si>
    <t>Net Funding Sources Added (Used)</t>
  </si>
  <si>
    <t>Capital Reserve</t>
  </si>
  <si>
    <t>Capital Project Reserve Goal</t>
  </si>
  <si>
    <t>Capital Reserve Above (Below) Goal</t>
  </si>
  <si>
    <t>Operating Revenues</t>
  </si>
  <si>
    <t>Expenditures</t>
  </si>
  <si>
    <t>AMR Radio &amp; Meter replacement</t>
  </si>
  <si>
    <t>Total Expenditures</t>
  </si>
  <si>
    <t>Operating Expenses</t>
  </si>
  <si>
    <t>Capital Financing</t>
  </si>
  <si>
    <t xml:space="preserve">   Sewer Connection Charges</t>
  </si>
  <si>
    <t>Crane Truck</t>
  </si>
  <si>
    <t>Portable Generator</t>
  </si>
  <si>
    <t>Easement Hose Reel</t>
  </si>
  <si>
    <t>Lift Station #11 Pumps</t>
  </si>
  <si>
    <t>Jetting Machine</t>
  </si>
  <si>
    <t>JD 135 (100hp) Excavator</t>
  </si>
  <si>
    <t>Sanitary Sewer Lining</t>
  </si>
  <si>
    <t xml:space="preserve">     Lift Station #21</t>
  </si>
  <si>
    <t xml:space="preserve">     Lift Station #1 </t>
  </si>
  <si>
    <t xml:space="preserve">     Lift Station #2</t>
  </si>
  <si>
    <t xml:space="preserve">     Lift Station #3</t>
  </si>
  <si>
    <t xml:space="preserve">     Lift Station #4</t>
  </si>
  <si>
    <t xml:space="preserve">     Lift Station #5</t>
  </si>
  <si>
    <t xml:space="preserve">     Lift Station #7</t>
  </si>
  <si>
    <t xml:space="preserve">     Lift Station #8</t>
  </si>
  <si>
    <t xml:space="preserve">     Lift Station #9</t>
  </si>
  <si>
    <t xml:space="preserve">     Lift Station #12</t>
  </si>
  <si>
    <t xml:space="preserve">     Lift Station #13</t>
  </si>
  <si>
    <t xml:space="preserve">     Lift Station #16</t>
  </si>
  <si>
    <t xml:space="preserve">     Lift Station #17</t>
  </si>
  <si>
    <t xml:space="preserve">     Lift Station #20</t>
  </si>
  <si>
    <t xml:space="preserve">     Lift Station #22</t>
  </si>
  <si>
    <t xml:space="preserve">     Lift Station #23</t>
  </si>
  <si>
    <t xml:space="preserve">     Lift Station #24</t>
  </si>
  <si>
    <t xml:space="preserve">     Lift Station #25</t>
  </si>
  <si>
    <t xml:space="preserve">     Lift Station #28</t>
  </si>
  <si>
    <t xml:space="preserve">     Lift Station #29</t>
  </si>
  <si>
    <t>Sanitary Sewer Plan Update</t>
  </si>
  <si>
    <t>Sanitary Sewer Lining-2008</t>
  </si>
  <si>
    <t>Sanitary Sewer Lining-2009</t>
  </si>
  <si>
    <t>Sanitary Sewer Lining-2010</t>
  </si>
  <si>
    <t>Trunk Oversizing</t>
  </si>
  <si>
    <t>Lexington Avenue Improvements (99-03)</t>
  </si>
  <si>
    <t>Construction New PW Facility</t>
  </si>
  <si>
    <t>TH 65/242 Improvements (02-11)</t>
  </si>
  <si>
    <t>Radisson Road Improvements (04-16)</t>
  </si>
  <si>
    <t>Lift Station #9 Abandonment (07-09)</t>
  </si>
  <si>
    <t>MAC S&amp;W Extension</t>
  </si>
  <si>
    <t>Financial Mgt System-Utility Share</t>
  </si>
  <si>
    <t>Relief sewer btwn Node 15/MHE-154</t>
  </si>
  <si>
    <t>Relief sewer btwn MHE-509/MHB-1112</t>
  </si>
  <si>
    <t>SCADA system replacement</t>
  </si>
  <si>
    <t>Facility security improvements</t>
  </si>
  <si>
    <t>Glenn Meadows</t>
  </si>
  <si>
    <t>Lever Street</t>
  </si>
  <si>
    <t>Sewer force main</t>
  </si>
  <si>
    <t>Trunk Extensions</t>
  </si>
  <si>
    <t>District 6</t>
  </si>
  <si>
    <t>District 7</t>
  </si>
  <si>
    <t>Misc Projects/Public Improvements</t>
  </si>
  <si>
    <t>Storm Fund 604</t>
  </si>
  <si>
    <t>Sanitary Sewer - 602</t>
  </si>
  <si>
    <t>Street sweeping screener &amp; structure</t>
  </si>
  <si>
    <t>Tracked skid-steer with trailer</t>
  </si>
  <si>
    <t>Jefferson Street ditch culverts reconstruction</t>
  </si>
  <si>
    <t>Jefferson Street/87th Lane slip lining</t>
  </si>
  <si>
    <t>Centennial Green ponds</t>
  </si>
  <si>
    <t>Co Ditch 17</t>
  </si>
  <si>
    <t>Laddie Lake regional ponding</t>
  </si>
  <si>
    <t>124th/Aberdeen</t>
  </si>
  <si>
    <t>Jackson Circle SS repair</t>
  </si>
  <si>
    <t xml:space="preserve">  Capital Equipment</t>
  </si>
  <si>
    <t>7th St Box Culvert Replacement</t>
  </si>
  <si>
    <t>Citywide Park BMP Implementation Study</t>
  </si>
  <si>
    <t>City Hall parking lot study - slip line</t>
  </si>
  <si>
    <t>Pavement Management Plan - 503</t>
  </si>
  <si>
    <t>Revenue Type</t>
  </si>
  <si>
    <t>Total</t>
  </si>
  <si>
    <t>Sewer Connection Charges</t>
  </si>
  <si>
    <t>Wetland Credits</t>
  </si>
  <si>
    <t>Park Dedication</t>
  </si>
  <si>
    <t>Other Misc. Revenue</t>
  </si>
  <si>
    <t>Investment Income</t>
  </si>
  <si>
    <t>General Tax Levy</t>
  </si>
  <si>
    <t>Transfers</t>
  </si>
  <si>
    <t>Ice Commander Suit</t>
  </si>
  <si>
    <t>REVENUE</t>
  </si>
  <si>
    <t xml:space="preserve">     Lift Station #10 </t>
  </si>
  <si>
    <t xml:space="preserve">     Lift Station #14</t>
  </si>
  <si>
    <t xml:space="preserve">     Lift Station #15-Radio</t>
  </si>
  <si>
    <t xml:space="preserve">     Lift Station #11-Radio</t>
  </si>
  <si>
    <t xml:space="preserve">     Lift Station #6-Radio</t>
  </si>
  <si>
    <t xml:space="preserve">     Lift Station #19-w/ pumps</t>
  </si>
  <si>
    <t>Lift Station Improvements</t>
  </si>
  <si>
    <t>L/S Conditioner Pump &amp; Trailer</t>
  </si>
  <si>
    <t>Lift Station 16 Pumps</t>
  </si>
  <si>
    <t xml:space="preserve">     Lift Station #26</t>
  </si>
  <si>
    <t xml:space="preserve">     Lift Station #27</t>
  </si>
  <si>
    <t>Public Improv.-Trunk Oversizing</t>
  </si>
  <si>
    <t xml:space="preserve">   Lift Station #21</t>
  </si>
  <si>
    <t>Jefferson Street-Storm Reconstruction</t>
  </si>
  <si>
    <t>City Hall parking lot study-slip line</t>
  </si>
  <si>
    <r>
      <t xml:space="preserve">  </t>
    </r>
    <r>
      <rPr>
        <i/>
        <u val="single"/>
        <sz val="12"/>
        <color indexed="8"/>
        <rFont val="Open Sans"/>
        <family val="2"/>
      </rPr>
      <t>Capital Equipment</t>
    </r>
  </si>
  <si>
    <r>
      <t xml:space="preserve">  </t>
    </r>
    <r>
      <rPr>
        <i/>
        <u val="single"/>
        <sz val="12"/>
        <color indexed="8"/>
        <rFont val="Open Sans"/>
        <family val="2"/>
      </rPr>
      <t>Capital Projects</t>
    </r>
  </si>
  <si>
    <t xml:space="preserve">Debt Proceeds </t>
  </si>
  <si>
    <t xml:space="preserve">  Other Capital Outlay</t>
  </si>
  <si>
    <t>Well Redevelopment  Proj 17-18</t>
  </si>
  <si>
    <t>Station Infrastructure</t>
  </si>
  <si>
    <t>Ladder 3</t>
  </si>
  <si>
    <t>Station 3 Carpet</t>
  </si>
  <si>
    <t>Rescue 4</t>
  </si>
  <si>
    <t>Rescue 5</t>
  </si>
  <si>
    <t>Station 4 Roof</t>
  </si>
  <si>
    <t>Ladder 6</t>
  </si>
  <si>
    <t>Rescue 6</t>
  </si>
  <si>
    <t>New Station 6</t>
  </si>
  <si>
    <t>Station Remodel(s)</t>
  </si>
  <si>
    <t>Rescue 3</t>
  </si>
  <si>
    <t>Engine 2</t>
  </si>
  <si>
    <t>Ladder 1</t>
  </si>
  <si>
    <t>RMS/Computer Equipment</t>
  </si>
  <si>
    <t>Parks Capital Improvement Plan</t>
  </si>
  <si>
    <t>Projected</t>
  </si>
  <si>
    <t>5-year CIP</t>
  </si>
  <si>
    <t>WAC Schedule</t>
  </si>
  <si>
    <t>BEGINNING BALANCE</t>
  </si>
  <si>
    <t>Internal Borrowing payments-principal</t>
  </si>
  <si>
    <t>interest</t>
  </si>
  <si>
    <t>(Transfer to fund 587)</t>
  </si>
  <si>
    <t>BALANCE</t>
  </si>
  <si>
    <t xml:space="preserve">   Hidden Ponds</t>
  </si>
  <si>
    <t>Park signage</t>
  </si>
  <si>
    <t>Pioneer Park wetland development</t>
  </si>
  <si>
    <t>Southern portion</t>
  </si>
  <si>
    <t>Outdoor Heritage Fund grant**</t>
  </si>
  <si>
    <t>Trails development</t>
  </si>
  <si>
    <t>Lever St Open Space</t>
  </si>
  <si>
    <t>Lexington Ave (LAC-122nd Ave)</t>
  </si>
  <si>
    <t>Arnold Palmer Drive</t>
  </si>
  <si>
    <t>Happy Acres Parking Lot Expansion</t>
  </si>
  <si>
    <t>Digital Park Sign</t>
  </si>
  <si>
    <t>Eastside Park Shelter</t>
  </si>
  <si>
    <t>Jim Peterson AC - South Parking Lot</t>
  </si>
  <si>
    <t>Lakeside Playground replacement</t>
  </si>
  <si>
    <t>East Lake Playground replacement</t>
  </si>
  <si>
    <t>Sunnyside playground replacement</t>
  </si>
  <si>
    <t xml:space="preserve">Site 7 </t>
  </si>
  <si>
    <t>Blaine Wetland Sanctuary (Open space N of 109th)*</t>
  </si>
  <si>
    <t>Wetland Management (CCES)</t>
  </si>
  <si>
    <t>On-going maintenance of BWS</t>
  </si>
  <si>
    <t>Wetland Credits Sales - Site 7</t>
  </si>
  <si>
    <t>Planting Plan - Critical Connections</t>
  </si>
  <si>
    <t xml:space="preserve">BWS Site Development </t>
  </si>
  <si>
    <t>BWS- Site 7 Boardwalk (Peterson)</t>
  </si>
  <si>
    <t>BWS- Site 7 Parking Lot (Dunaway)</t>
  </si>
  <si>
    <t>COB Engineering (Construction Management)</t>
  </si>
  <si>
    <t>EG Rud (Survey)</t>
  </si>
  <si>
    <t xml:space="preserve">Wetland Credit Sales - Pioneer Park </t>
  </si>
  <si>
    <t>EDA Repayment Site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</si>
</sst>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&quot;$&quot;#,##0"/>
    <numFmt numFmtId="168" formatCode="0.000%"/>
  </numFmts>
  <fonts count="58">
    <font>
      <sz val="12"/>
      <color theme="1"/>
      <name val="Times New Roman"/>
      <family val="2"/>
    </font>
    <font>
      <sz val="10"/>
      <name val="Arial"/>
      <family val="2"/>
    </font>
    <font>
      <u val="single"/>
      <sz val="12"/>
      <color theme="1"/>
      <name val="Times New Roman"/>
      <family val="2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u val="single"/>
      <sz val="12"/>
      <color theme="1"/>
      <name val="Garamond"/>
      <family val="1"/>
    </font>
    <font>
      <b/>
      <sz val="12"/>
      <color theme="1"/>
      <name val="Garamond"/>
      <family val="1"/>
    </font>
    <font>
      <u val="single"/>
      <sz val="12"/>
      <color theme="1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Open Sans"/>
      <family val="2"/>
    </font>
    <font>
      <sz val="12"/>
      <color theme="1"/>
      <name val="Open Sans"/>
      <family val="2"/>
    </font>
    <font>
      <b/>
      <u val="single"/>
      <sz val="12"/>
      <color theme="1"/>
      <name val="Open Sans"/>
      <family val="2"/>
    </font>
    <font>
      <u val="single"/>
      <sz val="12"/>
      <color theme="1"/>
      <name val="Open Sans"/>
      <family val="2"/>
    </font>
    <font>
      <b/>
      <sz val="12"/>
      <color theme="1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b/>
      <u val="single"/>
      <sz val="12"/>
      <name val="Open Sans"/>
      <family val="2"/>
    </font>
    <font>
      <i/>
      <sz val="12"/>
      <name val="Open Sans"/>
      <family val="2"/>
    </font>
    <font>
      <u val="single"/>
      <sz val="12"/>
      <name val="Open Sans"/>
      <family val="2"/>
    </font>
    <font>
      <b/>
      <u val="singleAccounting"/>
      <sz val="12"/>
      <name val="Open Sans"/>
      <family val="2"/>
    </font>
    <font>
      <b/>
      <u val="doubleAccounting"/>
      <sz val="12"/>
      <name val="Open Sans"/>
      <family val="2"/>
    </font>
    <font>
      <b/>
      <i/>
      <u val="singleAccounting"/>
      <sz val="12"/>
      <name val="Open Sans"/>
      <family val="2"/>
    </font>
    <font>
      <b/>
      <i/>
      <u val="doubleAccounting"/>
      <sz val="12"/>
      <name val="Open Sans"/>
      <family val="2"/>
    </font>
    <font>
      <b/>
      <u val="doubleAccounting"/>
      <sz val="12"/>
      <color theme="1"/>
      <name val="Open Sans"/>
      <family val="2"/>
    </font>
    <font>
      <u val="singleAccounting"/>
      <sz val="12"/>
      <color theme="1"/>
      <name val="Open Sans"/>
      <family val="2"/>
    </font>
    <font>
      <u val="singleAccounting"/>
      <sz val="12"/>
      <name val="Open Sans"/>
      <family val="2"/>
    </font>
    <font>
      <i/>
      <u val="single"/>
      <sz val="12"/>
      <name val="Open Sans"/>
      <family val="2"/>
    </font>
    <font>
      <i/>
      <u val="singleAccounting"/>
      <sz val="12"/>
      <name val="Open Sans"/>
      <family val="2"/>
    </font>
    <font>
      <i/>
      <sz val="12"/>
      <color theme="1"/>
      <name val="Open Sans"/>
      <family val="2"/>
    </font>
    <font>
      <b/>
      <u val="singleAccounting"/>
      <sz val="12"/>
      <color theme="1"/>
      <name val="Open Sans"/>
      <family val="2"/>
    </font>
    <font>
      <strike/>
      <sz val="12"/>
      <name val="Open Sans"/>
      <family val="2"/>
    </font>
    <font>
      <sz val="11"/>
      <color indexed="8"/>
      <name val="Calibri"/>
      <family val="2"/>
    </font>
    <font>
      <sz val="12"/>
      <color indexed="8"/>
      <name val="Open Sans"/>
      <family val="2"/>
    </font>
    <font>
      <i/>
      <sz val="12"/>
      <color indexed="8"/>
      <name val="Open Sans"/>
      <family val="2"/>
    </font>
    <font>
      <b/>
      <sz val="11"/>
      <name val="Open Sans"/>
      <family val="2"/>
    </font>
    <font>
      <i/>
      <sz val="11"/>
      <name val="Open Sans"/>
      <family val="2"/>
    </font>
    <font>
      <sz val="11"/>
      <name val="Open Sans"/>
      <family val="2"/>
    </font>
    <font>
      <sz val="11"/>
      <color theme="1"/>
      <name val="Times New Roman"/>
      <family val="2"/>
    </font>
    <font>
      <b/>
      <u val="singleAccounting"/>
      <sz val="11"/>
      <color theme="1"/>
      <name val="Open Sans"/>
      <family val="2"/>
    </font>
    <font>
      <sz val="11"/>
      <color theme="1"/>
      <name val="Open Sans"/>
      <family val="2"/>
    </font>
    <font>
      <u val="singleAccounting"/>
      <sz val="11"/>
      <color theme="1"/>
      <name val="Open Sans"/>
      <family val="2"/>
    </font>
    <font>
      <b/>
      <u val="single"/>
      <sz val="11"/>
      <color theme="1"/>
      <name val="Open Sans"/>
      <family val="2"/>
    </font>
    <font>
      <b/>
      <u val="doubleAccounting"/>
      <sz val="11"/>
      <color theme="1"/>
      <name val="Open Sans"/>
      <family val="2"/>
    </font>
    <font>
      <u val="single"/>
      <sz val="11"/>
      <color theme="1"/>
      <name val="Open Sans"/>
      <family val="2"/>
    </font>
    <font>
      <b/>
      <sz val="11"/>
      <color theme="1"/>
      <name val="Open Sans"/>
      <family val="2"/>
    </font>
    <font>
      <i/>
      <u val="single"/>
      <sz val="12"/>
      <color indexed="8"/>
      <name val="Open Sans"/>
      <family val="2"/>
    </font>
    <font>
      <b/>
      <i/>
      <sz val="11"/>
      <name val="Open Sans"/>
      <family val="2"/>
    </font>
    <font>
      <b/>
      <u val="single"/>
      <sz val="11"/>
      <name val="Open Sans"/>
      <family val="2"/>
    </font>
    <font>
      <b/>
      <u val="singleAccounting"/>
      <sz val="11"/>
      <name val="Open Sans"/>
      <family val="2"/>
    </font>
    <font>
      <b/>
      <i/>
      <u val="singleAccounting"/>
      <sz val="11"/>
      <name val="Open Sans"/>
      <family val="2"/>
    </font>
    <font>
      <b/>
      <u val="doubleAccounting"/>
      <sz val="11"/>
      <name val="Open Sans"/>
      <family val="2"/>
    </font>
    <font>
      <b/>
      <i/>
      <u val="doubleAccounting"/>
      <sz val="11"/>
      <name val="Open Sans"/>
      <family val="2"/>
    </font>
    <font>
      <b/>
      <u val="single"/>
      <sz val="9"/>
      <color theme="1" tint="0.25"/>
      <name val="Calibri"/>
      <family val="2"/>
    </font>
    <font>
      <sz val="9"/>
      <color theme="1" tint="0.35"/>
      <name val="Calibri"/>
      <family val="2"/>
    </font>
    <font>
      <b/>
      <sz val="8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lightUp"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</cellStyleXfs>
  <cellXfs count="447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16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165" fontId="0" fillId="0" borderId="0" xfId="18" applyNumberFormat="1" applyFont="1"/>
    <xf numFmtId="0" fontId="0" fillId="0" borderId="0" xfId="0" applyFont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164" fontId="4" fillId="0" borderId="0" xfId="16" applyNumberFormat="1" applyFont="1"/>
    <xf numFmtId="0" fontId="6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164" fontId="8" fillId="0" borderId="0" xfId="16" applyNumberFormat="1" applyFont="1"/>
    <xf numFmtId="164" fontId="6" fillId="0" borderId="0" xfId="16" applyNumberFormat="1" applyFont="1"/>
    <xf numFmtId="165" fontId="6" fillId="0" borderId="0" xfId="18" applyNumberFormat="1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164" fontId="8" fillId="0" borderId="0" xfId="0" applyNumberFormat="1" applyFont="1"/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Fill="1"/>
    <xf numFmtId="0" fontId="13" fillId="2" borderId="1" xfId="0" applyFont="1" applyFill="1" applyBorder="1"/>
    <xf numFmtId="0" fontId="14" fillId="0" borderId="0" xfId="0" applyFont="1"/>
    <xf numFmtId="0" fontId="16" fillId="0" borderId="0" xfId="0" applyFont="1"/>
    <xf numFmtId="164" fontId="13" fillId="0" borderId="0" xfId="16" applyNumberFormat="1" applyFont="1"/>
    <xf numFmtId="165" fontId="13" fillId="0" borderId="0" xfId="18" applyNumberFormat="1" applyFont="1"/>
    <xf numFmtId="0" fontId="13" fillId="3" borderId="0" xfId="0" applyFont="1" applyFill="1"/>
    <xf numFmtId="0" fontId="13" fillId="0" borderId="0" xfId="0" applyFont="1" applyBorder="1"/>
    <xf numFmtId="166" fontId="17" fillId="0" borderId="0" xfId="23" applyNumberFormat="1" applyFont="1" applyFill="1" applyBorder="1" applyAlignment="1">
      <alignment horizontal="center"/>
    </xf>
    <xf numFmtId="0" fontId="18" fillId="0" borderId="0" xfId="0" applyFont="1" applyFill="1" applyBorder="1"/>
    <xf numFmtId="0" fontId="13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4" fontId="17" fillId="0" borderId="0" xfId="22" applyNumberFormat="1" applyFont="1" applyFill="1" applyBorder="1" applyAlignment="1">
      <alignment horizontal="center"/>
    </xf>
    <xf numFmtId="165" fontId="18" fillId="0" borderId="0" xfId="21" applyNumberFormat="1" applyFont="1" applyFill="1" applyBorder="1"/>
    <xf numFmtId="164" fontId="18" fillId="0" borderId="0" xfId="22" applyNumberFormat="1" applyFont="1" applyFill="1" applyBorder="1"/>
    <xf numFmtId="165" fontId="18" fillId="0" borderId="0" xfId="22" applyNumberFormat="1" applyFont="1" applyFill="1" applyBorder="1"/>
    <xf numFmtId="164" fontId="17" fillId="0" borderId="0" xfId="0" applyNumberFormat="1" applyFont="1" applyFill="1" applyBorder="1"/>
    <xf numFmtId="165" fontId="17" fillId="0" borderId="0" xfId="21" applyNumberFormat="1" applyFont="1" applyFill="1" applyBorder="1"/>
    <xf numFmtId="165" fontId="17" fillId="0" borderId="0" xfId="22" applyNumberFormat="1" applyFont="1" applyFill="1" applyBorder="1"/>
    <xf numFmtId="0" fontId="13" fillId="0" borderId="0" xfId="0" applyFont="1" applyBorder="1" quotePrefix="1"/>
    <xf numFmtId="164" fontId="17" fillId="0" borderId="0" xfId="0" applyNumberFormat="1" applyFont="1" applyBorder="1"/>
    <xf numFmtId="0" fontId="17" fillId="0" borderId="0" xfId="0" applyFont="1" applyBorder="1" quotePrefix="1"/>
    <xf numFmtId="165" fontId="17" fillId="0" borderId="0" xfId="0" applyNumberFormat="1" applyFont="1" applyBorder="1"/>
    <xf numFmtId="166" fontId="17" fillId="0" borderId="2" xfId="23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2" xfId="0" applyFont="1" applyFill="1" applyBorder="1"/>
    <xf numFmtId="164" fontId="17" fillId="0" borderId="3" xfId="22" applyNumberFormat="1" applyFont="1" applyFill="1" applyBorder="1" applyAlignment="1">
      <alignment horizontal="center"/>
    </xf>
    <xf numFmtId="0" fontId="18" fillId="0" borderId="2" xfId="0" applyFont="1" applyFill="1" applyBorder="1"/>
    <xf numFmtId="0" fontId="19" fillId="0" borderId="2" xfId="0" applyFont="1" applyFill="1" applyBorder="1"/>
    <xf numFmtId="164" fontId="18" fillId="0" borderId="3" xfId="22" applyNumberFormat="1" applyFont="1" applyFill="1" applyBorder="1"/>
    <xf numFmtId="165" fontId="18" fillId="0" borderId="3" xfId="21" applyNumberFormat="1" applyFont="1" applyFill="1" applyBorder="1"/>
    <xf numFmtId="0" fontId="18" fillId="0" borderId="2" xfId="0" applyFont="1" applyFill="1" applyBorder="1" applyAlignment="1">
      <alignment horizontal="left" indent="1"/>
    </xf>
    <xf numFmtId="165" fontId="18" fillId="0" borderId="3" xfId="22" applyNumberFormat="1" applyFont="1" applyFill="1" applyBorder="1"/>
    <xf numFmtId="164" fontId="17" fillId="0" borderId="3" xfId="0" applyNumberFormat="1" applyFont="1" applyFill="1" applyBorder="1"/>
    <xf numFmtId="0" fontId="18" fillId="0" borderId="3" xfId="0" applyFont="1" applyFill="1" applyBorder="1"/>
    <xf numFmtId="0" fontId="17" fillId="0" borderId="2" xfId="0" applyFont="1" applyFill="1" applyBorder="1" applyAlignment="1">
      <alignment horizontal="right"/>
    </xf>
    <xf numFmtId="165" fontId="17" fillId="0" borderId="3" xfId="22" applyNumberFormat="1" applyFont="1" applyFill="1" applyBorder="1"/>
    <xf numFmtId="0" fontId="18" fillId="0" borderId="2" xfId="0" applyFont="1" applyFill="1" applyBorder="1" applyAlignment="1">
      <alignment horizontal="left"/>
    </xf>
    <xf numFmtId="165" fontId="17" fillId="0" borderId="3" xfId="21" applyNumberFormat="1" applyFont="1" applyFill="1" applyBorder="1"/>
    <xf numFmtId="0" fontId="17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7" fillId="0" borderId="4" xfId="0" applyFont="1" applyFill="1" applyBorder="1"/>
    <xf numFmtId="164" fontId="17" fillId="0" borderId="1" xfId="0" applyNumberFormat="1" applyFont="1" applyFill="1" applyBorder="1"/>
    <xf numFmtId="164" fontId="17" fillId="0" borderId="5" xfId="0" applyNumberFormat="1" applyFont="1" applyFill="1" applyBorder="1"/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7" fillId="2" borderId="2" xfId="0" applyFont="1" applyFill="1" applyBorder="1"/>
    <xf numFmtId="0" fontId="18" fillId="2" borderId="2" xfId="0" applyFont="1" applyFill="1" applyBorder="1"/>
    <xf numFmtId="165" fontId="18" fillId="4" borderId="0" xfId="21" applyNumberFormat="1" applyFont="1" applyFill="1"/>
    <xf numFmtId="165" fontId="12" fillId="4" borderId="0" xfId="21" applyNumberFormat="1" applyFont="1" applyFill="1" applyBorder="1"/>
    <xf numFmtId="165" fontId="17" fillId="4" borderId="0" xfId="21" applyNumberFormat="1" applyFont="1" applyFill="1" applyBorder="1"/>
    <xf numFmtId="165" fontId="22" fillId="4" borderId="0" xfId="21" applyNumberFormat="1" applyFont="1" applyFill="1" applyBorder="1"/>
    <xf numFmtId="6" fontId="23" fillId="4" borderId="0" xfId="22" applyNumberFormat="1" applyFont="1" applyFill="1"/>
    <xf numFmtId="0" fontId="17" fillId="2" borderId="7" xfId="20" applyFont="1" applyFill="1" applyBorder="1" applyAlignment="1">
      <alignment horizontal="center"/>
      <protection/>
    </xf>
    <xf numFmtId="0" fontId="17" fillId="2" borderId="9" xfId="20" applyFont="1" applyFill="1" applyBorder="1" applyAlignment="1">
      <alignment horizontal="center"/>
      <protection/>
    </xf>
    <xf numFmtId="0" fontId="17" fillId="2" borderId="10" xfId="20" applyFont="1" applyFill="1" applyBorder="1" applyAlignment="1">
      <alignment horizontal="center"/>
      <protection/>
    </xf>
    <xf numFmtId="0" fontId="18" fillId="0" borderId="0" xfId="20" applyFont="1">
      <alignment/>
      <protection/>
    </xf>
    <xf numFmtId="0" fontId="17" fillId="4" borderId="0" xfId="20" applyFont="1" applyFill="1" applyBorder="1" applyAlignment="1">
      <alignment horizontal="center"/>
      <protection/>
    </xf>
    <xf numFmtId="0" fontId="12" fillId="5" borderId="9" xfId="20" applyFont="1" applyFill="1" applyBorder="1" applyAlignment="1">
      <alignment horizontal="center"/>
      <protection/>
    </xf>
    <xf numFmtId="0" fontId="17" fillId="2" borderId="2" xfId="20" applyFont="1" applyFill="1" applyBorder="1">
      <alignment/>
      <protection/>
    </xf>
    <xf numFmtId="0" fontId="18" fillId="2" borderId="0" xfId="20" applyFont="1" applyFill="1" applyBorder="1">
      <alignment/>
      <protection/>
    </xf>
    <xf numFmtId="0" fontId="19" fillId="2" borderId="0" xfId="20" applyFont="1" applyFill="1" applyBorder="1" applyAlignment="1">
      <alignment horizontal="center"/>
      <protection/>
    </xf>
    <xf numFmtId="0" fontId="19" fillId="2" borderId="3" xfId="20" applyFont="1" applyFill="1" applyBorder="1" applyAlignment="1">
      <alignment horizontal="center"/>
      <protection/>
    </xf>
    <xf numFmtId="0" fontId="19" fillId="2" borderId="0" xfId="20" applyFont="1" applyFill="1" applyAlignment="1">
      <alignment horizontal="center"/>
      <protection/>
    </xf>
    <xf numFmtId="0" fontId="19" fillId="4" borderId="0" xfId="20" applyFont="1" applyFill="1" applyAlignment="1">
      <alignment horizontal="center"/>
      <protection/>
    </xf>
    <xf numFmtId="0" fontId="20" fillId="0" borderId="0" xfId="20" applyFont="1">
      <alignment/>
      <protection/>
    </xf>
    <xf numFmtId="6" fontId="22" fillId="2" borderId="0" xfId="20" applyNumberFormat="1" applyFont="1" applyFill="1" applyBorder="1" applyAlignment="1">
      <alignment horizontal="center"/>
      <protection/>
    </xf>
    <xf numFmtId="165" fontId="22" fillId="2" borderId="0" xfId="20" applyNumberFormat="1" applyFont="1" applyFill="1" applyBorder="1" applyAlignment="1">
      <alignment horizontal="center"/>
      <protection/>
    </xf>
    <xf numFmtId="165" fontId="22" fillId="2" borderId="0" xfId="20" applyNumberFormat="1" applyFont="1" applyFill="1" applyAlignment="1">
      <alignment horizontal="center"/>
      <protection/>
    </xf>
    <xf numFmtId="6" fontId="22" fillId="4" borderId="0" xfId="20" applyNumberFormat="1" applyFont="1" applyFill="1" applyAlignment="1">
      <alignment horizontal="center"/>
      <protection/>
    </xf>
    <xf numFmtId="6" fontId="20" fillId="0" borderId="0" xfId="20" applyNumberFormat="1" applyFont="1">
      <alignment/>
      <protection/>
    </xf>
    <xf numFmtId="0" fontId="18" fillId="2" borderId="2" xfId="20" applyFont="1" applyFill="1" applyBorder="1">
      <alignment/>
      <protection/>
    </xf>
    <xf numFmtId="0" fontId="18" fillId="2" borderId="3" xfId="20" applyFont="1" applyFill="1" applyBorder="1">
      <alignment/>
      <protection/>
    </xf>
    <xf numFmtId="0" fontId="18" fillId="2" borderId="0" xfId="20" applyFont="1" applyFill="1">
      <alignment/>
      <protection/>
    </xf>
    <xf numFmtId="0" fontId="18" fillId="4" borderId="0" xfId="20" applyFont="1" applyFill="1">
      <alignment/>
      <protection/>
    </xf>
    <xf numFmtId="0" fontId="19" fillId="2" borderId="2" xfId="20" applyFont="1" applyFill="1" applyBorder="1">
      <alignment/>
      <protection/>
    </xf>
    <xf numFmtId="49" fontId="18" fillId="2" borderId="2" xfId="20" applyNumberFormat="1" applyFont="1" applyFill="1" applyBorder="1">
      <alignment/>
      <protection/>
    </xf>
    <xf numFmtId="37" fontId="18" fillId="2" borderId="0" xfId="20" applyNumberFormat="1" applyFont="1" applyFill="1" applyBorder="1">
      <alignment/>
      <protection/>
    </xf>
    <xf numFmtId="165" fontId="18" fillId="2" borderId="0" xfId="21" applyNumberFormat="1" applyFont="1" applyFill="1" applyBorder="1"/>
    <xf numFmtId="37" fontId="18" fillId="2" borderId="3" xfId="20" applyNumberFormat="1" applyFont="1" applyFill="1" applyBorder="1">
      <alignment/>
      <protection/>
    </xf>
    <xf numFmtId="37" fontId="18" fillId="2" borderId="0" xfId="20" applyNumberFormat="1" applyFont="1" applyFill="1">
      <alignment/>
      <protection/>
    </xf>
    <xf numFmtId="165" fontId="20" fillId="0" borderId="0" xfId="20" applyNumberFormat="1" applyFont="1">
      <alignment/>
      <protection/>
    </xf>
    <xf numFmtId="43" fontId="18" fillId="2" borderId="0" xfId="21" applyFont="1" applyFill="1" applyBorder="1"/>
    <xf numFmtId="165" fontId="18" fillId="2" borderId="3" xfId="21" applyNumberFormat="1" applyFont="1" applyFill="1" applyBorder="1"/>
    <xf numFmtId="165" fontId="18" fillId="2" borderId="0" xfId="21" applyNumberFormat="1" applyFont="1" applyFill="1"/>
    <xf numFmtId="37" fontId="18" fillId="4" borderId="0" xfId="20" applyNumberFormat="1" applyFont="1" applyFill="1">
      <alignment/>
      <protection/>
    </xf>
    <xf numFmtId="43" fontId="18" fillId="2" borderId="3" xfId="21" applyFont="1" applyFill="1" applyBorder="1"/>
    <xf numFmtId="43" fontId="18" fillId="2" borderId="0" xfId="21" applyFont="1" applyFill="1"/>
    <xf numFmtId="37" fontId="12" fillId="2" borderId="0" xfId="20" applyNumberFormat="1" applyFont="1" applyFill="1" applyBorder="1">
      <alignment/>
      <protection/>
    </xf>
    <xf numFmtId="37" fontId="12" fillId="4" borderId="0" xfId="20" applyNumberFormat="1" applyFont="1" applyFill="1" applyBorder="1">
      <alignment/>
      <protection/>
    </xf>
    <xf numFmtId="37" fontId="12" fillId="0" borderId="0" xfId="20" applyNumberFormat="1" applyFont="1" applyBorder="1">
      <alignment/>
      <protection/>
    </xf>
    <xf numFmtId="165" fontId="18" fillId="2" borderId="0" xfId="20" applyNumberFormat="1" applyFont="1" applyFill="1" applyBorder="1">
      <alignment/>
      <protection/>
    </xf>
    <xf numFmtId="165" fontId="18" fillId="2" borderId="3" xfId="20" applyNumberFormat="1" applyFont="1" applyFill="1" applyBorder="1">
      <alignment/>
      <protection/>
    </xf>
    <xf numFmtId="165" fontId="18" fillId="2" borderId="0" xfId="20" applyNumberFormat="1" applyFont="1" applyFill="1">
      <alignment/>
      <protection/>
    </xf>
    <xf numFmtId="165" fontId="18" fillId="4" borderId="0" xfId="20" applyNumberFormat="1" applyFont="1" applyFill="1">
      <alignment/>
      <protection/>
    </xf>
    <xf numFmtId="165" fontId="18" fillId="0" borderId="0" xfId="20" applyNumberFormat="1" applyFont="1">
      <alignment/>
      <protection/>
    </xf>
    <xf numFmtId="165" fontId="12" fillId="2" borderId="0" xfId="21" applyNumberFormat="1" applyFont="1" applyFill="1" applyBorder="1"/>
    <xf numFmtId="165" fontId="12" fillId="0" borderId="0" xfId="21" applyNumberFormat="1" applyFont="1" applyBorder="1"/>
    <xf numFmtId="165" fontId="17" fillId="2" borderId="0" xfId="21" applyNumberFormat="1" applyFont="1" applyFill="1" applyBorder="1"/>
    <xf numFmtId="165" fontId="22" fillId="2" borderId="0" xfId="21" applyNumberFormat="1" applyFont="1" applyFill="1" applyBorder="1"/>
    <xf numFmtId="165" fontId="24" fillId="0" borderId="0" xfId="21" applyNumberFormat="1" applyFont="1" applyBorder="1"/>
    <xf numFmtId="37" fontId="20" fillId="0" borderId="0" xfId="20" applyNumberFormat="1" applyFont="1">
      <alignment/>
      <protection/>
    </xf>
    <xf numFmtId="6" fontId="23" fillId="2" borderId="0" xfId="22" applyNumberFormat="1" applyFont="1" applyFill="1"/>
    <xf numFmtId="6" fontId="25" fillId="0" borderId="0" xfId="22" applyNumberFormat="1" applyFont="1"/>
    <xf numFmtId="0" fontId="15" fillId="2" borderId="7" xfId="0" applyFont="1" applyFill="1" applyBorder="1" applyAlignment="1">
      <alignment horizontal="center"/>
    </xf>
    <xf numFmtId="164" fontId="16" fillId="2" borderId="0" xfId="16" applyNumberFormat="1" applyFont="1" applyFill="1" applyBorder="1" applyAlignment="1">
      <alignment vertical="center"/>
    </xf>
    <xf numFmtId="164" fontId="26" fillId="2" borderId="0" xfId="16" applyNumberFormat="1" applyFont="1" applyFill="1" applyBorder="1" applyAlignment="1">
      <alignment vertical="center"/>
    </xf>
    <xf numFmtId="164" fontId="26" fillId="2" borderId="3" xfId="16" applyNumberFormat="1" applyFont="1" applyFill="1" applyBorder="1" applyAlignment="1">
      <alignment vertical="center"/>
    </xf>
    <xf numFmtId="0" fontId="16" fillId="2" borderId="2" xfId="0" applyFont="1" applyFill="1" applyBorder="1"/>
    <xf numFmtId="164" fontId="13" fillId="2" borderId="0" xfId="16" applyNumberFormat="1" applyFont="1" applyFill="1" applyBorder="1"/>
    <xf numFmtId="164" fontId="13" fillId="2" borderId="3" xfId="16" applyNumberFormat="1" applyFont="1" applyFill="1" applyBorder="1"/>
    <xf numFmtId="0" fontId="13" fillId="2" borderId="2" xfId="0" applyFont="1" applyFill="1" applyBorder="1"/>
    <xf numFmtId="165" fontId="13" fillId="2" borderId="0" xfId="18" applyNumberFormat="1" applyFont="1" applyFill="1" applyBorder="1"/>
    <xf numFmtId="165" fontId="13" fillId="2" borderId="3" xfId="18" applyNumberFormat="1" applyFont="1" applyFill="1" applyBorder="1"/>
    <xf numFmtId="0" fontId="13" fillId="2" borderId="2" xfId="0" applyFont="1" applyFill="1" applyBorder="1" applyAlignment="1">
      <alignment horizontal="left" indent="1"/>
    </xf>
    <xf numFmtId="0" fontId="13" fillId="2" borderId="2" xfId="0" applyFont="1" applyFill="1" applyBorder="1" applyAlignment="1">
      <alignment horizontal="right"/>
    </xf>
    <xf numFmtId="0" fontId="13" fillId="2" borderId="0" xfId="0" applyFont="1" applyFill="1" applyBorder="1"/>
    <xf numFmtId="0" fontId="13" fillId="2" borderId="3" xfId="0" applyFont="1" applyFill="1" applyBorder="1"/>
    <xf numFmtId="164" fontId="13" fillId="2" borderId="0" xfId="0" applyNumberFormat="1" applyFont="1" applyFill="1" applyBorder="1"/>
    <xf numFmtId="164" fontId="13" fillId="2" borderId="3" xfId="0" applyNumberFormat="1" applyFont="1" applyFill="1" applyBorder="1"/>
    <xf numFmtId="164" fontId="16" fillId="2" borderId="1" xfId="0" applyNumberFormat="1" applyFont="1" applyFill="1" applyBorder="1"/>
    <xf numFmtId="164" fontId="26" fillId="2" borderId="1" xfId="0" applyNumberFormat="1" applyFont="1" applyFill="1" applyBorder="1"/>
    <xf numFmtId="164" fontId="26" fillId="2" borderId="5" xfId="0" applyNumberFormat="1" applyFont="1" applyFill="1" applyBorder="1"/>
    <xf numFmtId="0" fontId="15" fillId="2" borderId="6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right" wrapText="1"/>
    </xf>
    <xf numFmtId="0" fontId="16" fillId="2" borderId="4" xfId="0" applyFont="1" applyFill="1" applyBorder="1" applyAlignment="1">
      <alignment horizontal="right"/>
    </xf>
    <xf numFmtId="164" fontId="27" fillId="2" borderId="0" xfId="16" applyNumberFormat="1" applyFont="1" applyFill="1" applyBorder="1"/>
    <xf numFmtId="164" fontId="27" fillId="2" borderId="3" xfId="16" applyNumberFormat="1" applyFont="1" applyFill="1" applyBorder="1"/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right"/>
    </xf>
    <xf numFmtId="164" fontId="16" fillId="2" borderId="0" xfId="16" applyNumberFormat="1" applyFont="1" applyFill="1" applyBorder="1"/>
    <xf numFmtId="5" fontId="17" fillId="2" borderId="2" xfId="0" applyNumberFormat="1" applyFont="1" applyFill="1" applyBorder="1" applyAlignment="1">
      <alignment vertical="top"/>
    </xf>
    <xf numFmtId="5" fontId="18" fillId="2" borderId="2" xfId="0" applyNumberFormat="1" applyFont="1" applyFill="1" applyBorder="1" applyAlignment="1">
      <alignment horizontal="left" vertical="top" indent="1"/>
    </xf>
    <xf numFmtId="5" fontId="18" fillId="2" borderId="2" xfId="0" applyNumberFormat="1" applyFont="1" applyFill="1" applyBorder="1" applyAlignment="1">
      <alignment horizontal="left" vertical="top" wrapText="1" indent="1"/>
    </xf>
    <xf numFmtId="0" fontId="18" fillId="2" borderId="2" xfId="0" applyFont="1" applyFill="1" applyBorder="1" applyAlignment="1">
      <alignment horizontal="left" vertical="top" indent="1"/>
    </xf>
    <xf numFmtId="165" fontId="16" fillId="2" borderId="0" xfId="18" applyNumberFormat="1" applyFont="1" applyFill="1" applyBorder="1"/>
    <xf numFmtId="164" fontId="26" fillId="2" borderId="0" xfId="16" applyNumberFormat="1" applyFont="1" applyFill="1" applyBorder="1"/>
    <xf numFmtId="164" fontId="26" fillId="2" borderId="3" xfId="16" applyNumberFormat="1" applyFont="1" applyFill="1" applyBorder="1"/>
    <xf numFmtId="5" fontId="12" fillId="2" borderId="2" xfId="0" applyNumberFormat="1" applyFont="1" applyFill="1" applyBorder="1" applyAlignment="1">
      <alignment vertical="top"/>
    </xf>
    <xf numFmtId="37" fontId="12" fillId="2" borderId="2" xfId="0" applyNumberFormat="1" applyFont="1" applyFill="1" applyBorder="1" applyAlignment="1">
      <alignment vertical="top"/>
    </xf>
    <xf numFmtId="5" fontId="12" fillId="2" borderId="2" xfId="0" applyNumberFormat="1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166" fontId="17" fillId="2" borderId="0" xfId="23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/>
    <xf numFmtId="164" fontId="17" fillId="2" borderId="0" xfId="22" applyNumberFormat="1" applyFont="1" applyFill="1" applyBorder="1" applyAlignment="1">
      <alignment horizontal="center"/>
    </xf>
    <xf numFmtId="164" fontId="18" fillId="2" borderId="0" xfId="22" applyNumberFormat="1" applyFont="1" applyFill="1" applyBorder="1"/>
    <xf numFmtId="165" fontId="18" fillId="2" borderId="0" xfId="22" applyNumberFormat="1" applyFont="1" applyFill="1" applyBorder="1"/>
    <xf numFmtId="164" fontId="17" fillId="2" borderId="0" xfId="0" applyNumberFormat="1" applyFont="1" applyFill="1" applyBorder="1"/>
    <xf numFmtId="164" fontId="17" fillId="0" borderId="0" xfId="0" applyNumberFormat="1" applyFont="1"/>
    <xf numFmtId="0" fontId="17" fillId="0" borderId="0" xfId="0" applyFont="1" quotePrefix="1"/>
    <xf numFmtId="165" fontId="17" fillId="0" borderId="0" xfId="0" applyNumberFormat="1" applyFont="1"/>
    <xf numFmtId="164" fontId="18" fillId="2" borderId="0" xfId="0" applyNumberFormat="1" applyFont="1" applyFill="1" applyBorder="1"/>
    <xf numFmtId="164" fontId="28" fillId="2" borderId="0" xfId="0" applyNumberFormat="1" applyFont="1" applyFill="1" applyBorder="1"/>
    <xf numFmtId="164" fontId="23" fillId="2" borderId="0" xfId="0" applyNumberFormat="1" applyFont="1" applyFill="1" applyBorder="1"/>
    <xf numFmtId="0" fontId="12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right"/>
    </xf>
    <xf numFmtId="164" fontId="17" fillId="2" borderId="3" xfId="22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164" fontId="18" fillId="2" borderId="3" xfId="22" applyNumberFormat="1" applyFont="1" applyFill="1" applyBorder="1"/>
    <xf numFmtId="0" fontId="18" fillId="2" borderId="2" xfId="0" applyFont="1" applyFill="1" applyBorder="1" applyAlignment="1">
      <alignment horizontal="left" indent="1"/>
    </xf>
    <xf numFmtId="165" fontId="18" fillId="2" borderId="3" xfId="22" applyNumberFormat="1" applyFont="1" applyFill="1" applyBorder="1"/>
    <xf numFmtId="0" fontId="18" fillId="2" borderId="2" xfId="0" applyFont="1" applyFill="1" applyBorder="1" applyAlignment="1">
      <alignment horizontal="right"/>
    </xf>
    <xf numFmtId="164" fontId="28" fillId="2" borderId="3" xfId="0" applyNumberFormat="1" applyFont="1" applyFill="1" applyBorder="1"/>
    <xf numFmtId="0" fontId="18" fillId="2" borderId="3" xfId="0" applyFont="1" applyFill="1" applyBorder="1"/>
    <xf numFmtId="0" fontId="12" fillId="2" borderId="2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12" fillId="2" borderId="2" xfId="0" applyFont="1" applyFill="1" applyBorder="1"/>
    <xf numFmtId="0" fontId="13" fillId="0" borderId="2" xfId="0" applyFont="1" applyBorder="1"/>
    <xf numFmtId="4" fontId="18" fillId="2" borderId="2" xfId="0" applyNumberFormat="1" applyFont="1" applyFill="1" applyBorder="1" applyAlignment="1">
      <alignment horizontal="right"/>
    </xf>
    <xf numFmtId="164" fontId="17" fillId="2" borderId="3" xfId="0" applyNumberFormat="1" applyFont="1" applyFill="1" applyBorder="1"/>
    <xf numFmtId="164" fontId="23" fillId="2" borderId="3" xfId="0" applyNumberFormat="1" applyFont="1" applyFill="1" applyBorder="1"/>
    <xf numFmtId="0" fontId="13" fillId="2" borderId="4" xfId="0" applyFont="1" applyFill="1" applyBorder="1" quotePrefix="1"/>
    <xf numFmtId="164" fontId="13" fillId="2" borderId="1" xfId="0" applyNumberFormat="1" applyFont="1" applyFill="1" applyBorder="1"/>
    <xf numFmtId="0" fontId="13" fillId="2" borderId="5" xfId="0" applyFont="1" applyFill="1" applyBorder="1"/>
    <xf numFmtId="0" fontId="29" fillId="2" borderId="6" xfId="0" applyFont="1" applyFill="1" applyBorder="1" applyAlignment="1">
      <alignment horizontal="center" vertical="center" wrapText="1"/>
    </xf>
    <xf numFmtId="164" fontId="22" fillId="2" borderId="0" xfId="22" applyNumberFormat="1" applyFont="1" applyFill="1" applyBorder="1" applyAlignment="1">
      <alignment horizontal="center"/>
    </xf>
    <xf numFmtId="164" fontId="22" fillId="2" borderId="3" xfId="22" applyNumberFormat="1" applyFont="1" applyFill="1" applyBorder="1" applyAlignment="1">
      <alignment horizontal="center"/>
    </xf>
    <xf numFmtId="164" fontId="18" fillId="2" borderId="3" xfId="0" applyNumberFormat="1" applyFont="1" applyFill="1" applyBorder="1"/>
    <xf numFmtId="0" fontId="17" fillId="2" borderId="0" xfId="20" applyFont="1" applyFill="1" applyBorder="1" applyAlignment="1">
      <alignment horizontal="center"/>
      <protection/>
    </xf>
    <xf numFmtId="165" fontId="18" fillId="2" borderId="0" xfId="18" applyNumberFormat="1" applyFont="1" applyFill="1" applyBorder="1"/>
    <xf numFmtId="0" fontId="19" fillId="2" borderId="7" xfId="20" applyFont="1" applyFill="1" applyBorder="1" applyAlignment="1">
      <alignment horizontal="center"/>
      <protection/>
    </xf>
    <xf numFmtId="0" fontId="19" fillId="2" borderId="8" xfId="20" applyFont="1" applyFill="1" applyBorder="1" applyAlignment="1">
      <alignment horizontal="center"/>
      <protection/>
    </xf>
    <xf numFmtId="0" fontId="17" fillId="2" borderId="2" xfId="20" applyFont="1" applyFill="1" applyBorder="1" applyAlignment="1">
      <alignment horizontal="right"/>
      <protection/>
    </xf>
    <xf numFmtId="0" fontId="18" fillId="2" borderId="2" xfId="20" applyFont="1" applyFill="1" applyBorder="1" applyAlignment="1">
      <alignment horizontal="left" indent="1"/>
      <protection/>
    </xf>
    <xf numFmtId="0" fontId="18" fillId="2" borderId="2" xfId="20" applyFont="1" applyFill="1" applyBorder="1" applyAlignment="1">
      <alignment horizontal="right"/>
      <protection/>
    </xf>
    <xf numFmtId="165" fontId="18" fillId="2" borderId="3" xfId="18" applyNumberFormat="1" applyFont="1" applyFill="1" applyBorder="1"/>
    <xf numFmtId="6" fontId="23" fillId="2" borderId="1" xfId="22" applyNumberFormat="1" applyFont="1" applyFill="1" applyBorder="1"/>
    <xf numFmtId="6" fontId="23" fillId="2" borderId="5" xfId="22" applyNumberFormat="1" applyFont="1" applyFill="1" applyBorder="1"/>
    <xf numFmtId="0" fontId="17" fillId="2" borderId="4" xfId="20" applyFont="1" applyFill="1" applyBorder="1" applyAlignment="1">
      <alignment horizontal="right"/>
      <protection/>
    </xf>
    <xf numFmtId="37" fontId="21" fillId="2" borderId="0" xfId="20" applyNumberFormat="1" applyFont="1" applyFill="1" applyBorder="1">
      <alignment/>
      <protection/>
    </xf>
    <xf numFmtId="37" fontId="21" fillId="2" borderId="3" xfId="20" applyNumberFormat="1" applyFont="1" applyFill="1" applyBorder="1">
      <alignment/>
      <protection/>
    </xf>
    <xf numFmtId="165" fontId="28" fillId="2" borderId="0" xfId="21" applyNumberFormat="1" applyFont="1" applyFill="1" applyBorder="1"/>
    <xf numFmtId="165" fontId="28" fillId="2" borderId="3" xfId="21" applyNumberFormat="1" applyFont="1" applyFill="1" applyBorder="1"/>
    <xf numFmtId="0" fontId="18" fillId="2" borderId="2" xfId="20" applyFont="1" applyFill="1" applyBorder="1" applyAlignment="1">
      <alignment horizontal="left"/>
      <protection/>
    </xf>
    <xf numFmtId="0" fontId="17" fillId="2" borderId="0" xfId="0" applyFont="1" applyFill="1" applyBorder="1"/>
    <xf numFmtId="0" fontId="18" fillId="0" borderId="0" xfId="0" applyFont="1" applyBorder="1"/>
    <xf numFmtId="6" fontId="22" fillId="2" borderId="0" xfId="0" applyNumberFormat="1" applyFont="1" applyFill="1" applyBorder="1" applyAlignment="1">
      <alignment horizontal="center"/>
    </xf>
    <xf numFmtId="165" fontId="13" fillId="0" borderId="0" xfId="0" applyNumberFormat="1" applyFont="1" applyBorder="1"/>
    <xf numFmtId="49" fontId="18" fillId="0" borderId="0" xfId="0" applyNumberFormat="1" applyFont="1" applyBorder="1"/>
    <xf numFmtId="37" fontId="18" fillId="0" borderId="0" xfId="0" applyNumberFormat="1" applyFont="1" applyFill="1" applyBorder="1"/>
    <xf numFmtId="37" fontId="18" fillId="0" borderId="0" xfId="0" applyNumberFormat="1" applyFont="1" applyBorder="1"/>
    <xf numFmtId="165" fontId="30" fillId="2" borderId="0" xfId="21" applyNumberFormat="1" applyFont="1" applyFill="1" applyBorder="1"/>
    <xf numFmtId="0" fontId="21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6" fontId="22" fillId="2" borderId="3" xfId="0" applyNumberFormat="1" applyFont="1" applyFill="1" applyBorder="1" applyAlignment="1">
      <alignment horizontal="center"/>
    </xf>
    <xf numFmtId="0" fontId="18" fillId="2" borderId="2" xfId="22" applyNumberFormat="1" applyFont="1" applyFill="1" applyBorder="1" applyAlignment="1">
      <alignment horizontal="left"/>
    </xf>
    <xf numFmtId="0" fontId="17" fillId="2" borderId="4" xfId="0" applyFont="1" applyFill="1" applyBorder="1" applyAlignment="1">
      <alignment horizontal="right"/>
    </xf>
    <xf numFmtId="0" fontId="21" fillId="0" borderId="6" xfId="20" applyFont="1" applyFill="1" applyBorder="1" applyAlignment="1">
      <alignment horizontal="center"/>
      <protection/>
    </xf>
    <xf numFmtId="167" fontId="22" fillId="2" borderId="0" xfId="20" applyNumberFormat="1" applyFont="1" applyFill="1" applyBorder="1" applyAlignment="1">
      <alignment horizontal="center"/>
      <protection/>
    </xf>
    <xf numFmtId="167" fontId="22" fillId="2" borderId="3" xfId="20" applyNumberFormat="1" applyFont="1" applyFill="1" applyBorder="1" applyAlignment="1">
      <alignment horizontal="center"/>
      <protection/>
    </xf>
    <xf numFmtId="0" fontId="17" fillId="2" borderId="0" xfId="20" applyFont="1" applyFill="1" applyBorder="1" applyAlignment="1">
      <alignment wrapText="1"/>
      <protection/>
    </xf>
    <xf numFmtId="0" fontId="13" fillId="2" borderId="0" xfId="24" applyFont="1" applyFill="1">
      <alignment/>
      <protection/>
    </xf>
    <xf numFmtId="0" fontId="14" fillId="2" borderId="0" xfId="24" applyFont="1" applyFill="1" applyAlignment="1">
      <alignment horizontal="center"/>
      <protection/>
    </xf>
    <xf numFmtId="164" fontId="16" fillId="2" borderId="0" xfId="25" applyNumberFormat="1" applyFont="1" applyFill="1" applyAlignment="1">
      <alignment horizontal="center"/>
    </xf>
    <xf numFmtId="164" fontId="13" fillId="2" borderId="0" xfId="25" applyNumberFormat="1" applyFont="1" applyFill="1"/>
    <xf numFmtId="165" fontId="13" fillId="2" borderId="0" xfId="26" applyNumberFormat="1" applyFont="1" applyFill="1"/>
    <xf numFmtId="165" fontId="16" fillId="2" borderId="0" xfId="26" applyNumberFormat="1" applyFont="1" applyFill="1"/>
    <xf numFmtId="164" fontId="16" fillId="2" borderId="11" xfId="25" applyNumberFormat="1" applyFont="1" applyFill="1" applyBorder="1"/>
    <xf numFmtId="5" fontId="18" fillId="2" borderId="2" xfId="24" applyNumberFormat="1" applyFont="1" applyFill="1" applyBorder="1" applyAlignment="1">
      <alignment horizontal="left" vertical="top"/>
      <protection/>
    </xf>
    <xf numFmtId="165" fontId="16" fillId="2" borderId="11" xfId="26" applyNumberFormat="1" applyFont="1" applyFill="1" applyBorder="1"/>
    <xf numFmtId="164" fontId="16" fillId="2" borderId="12" xfId="25" applyNumberFormat="1" applyFont="1" applyFill="1" applyBorder="1"/>
    <xf numFmtId="164" fontId="16" fillId="2" borderId="0" xfId="25" applyNumberFormat="1" applyFont="1" applyFill="1"/>
    <xf numFmtId="0" fontId="15" fillId="2" borderId="6" xfId="24" applyFont="1" applyFill="1" applyBorder="1" applyAlignment="1">
      <alignment horizontal="center"/>
      <protection/>
    </xf>
    <xf numFmtId="0" fontId="14" fillId="2" borderId="7" xfId="24" applyFont="1" applyFill="1" applyBorder="1" applyAlignment="1">
      <alignment horizontal="center"/>
      <protection/>
    </xf>
    <xf numFmtId="0" fontId="14" fillId="2" borderId="8" xfId="24" applyFont="1" applyFill="1" applyBorder="1" applyAlignment="1">
      <alignment horizontal="center"/>
      <protection/>
    </xf>
    <xf numFmtId="0" fontId="16" fillId="2" borderId="2" xfId="24" applyFont="1" applyFill="1" applyBorder="1" applyAlignment="1">
      <alignment horizontal="right"/>
      <protection/>
    </xf>
    <xf numFmtId="164" fontId="16" fillId="2" borderId="0" xfId="25" applyNumberFormat="1" applyFont="1" applyFill="1" applyBorder="1" applyAlignment="1">
      <alignment horizontal="center"/>
    </xf>
    <xf numFmtId="0" fontId="13" fillId="2" borderId="2" xfId="24" applyFont="1" applyFill="1" applyBorder="1">
      <alignment/>
      <protection/>
    </xf>
    <xf numFmtId="0" fontId="16" fillId="2" borderId="2" xfId="24" applyFont="1" applyFill="1" applyBorder="1">
      <alignment/>
      <protection/>
    </xf>
    <xf numFmtId="0" fontId="13" fillId="2" borderId="0" xfId="24" applyFont="1" applyFill="1" applyBorder="1">
      <alignment/>
      <protection/>
    </xf>
    <xf numFmtId="0" fontId="13" fillId="2" borderId="3" xfId="24" applyFont="1" applyFill="1" applyBorder="1">
      <alignment/>
      <protection/>
    </xf>
    <xf numFmtId="0" fontId="13" fillId="2" borderId="2" xfId="24" applyFont="1" applyFill="1" applyBorder="1" applyAlignment="1">
      <alignment horizontal="left" indent="1"/>
      <protection/>
    </xf>
    <xf numFmtId="0" fontId="31" fillId="2" borderId="2" xfId="24" applyFont="1" applyFill="1" applyBorder="1" applyAlignment="1">
      <alignment horizontal="left" indent="2"/>
      <protection/>
    </xf>
    <xf numFmtId="164" fontId="13" fillId="2" borderId="0" xfId="25" applyNumberFormat="1" applyFont="1" applyFill="1" applyBorder="1"/>
    <xf numFmtId="165" fontId="13" fillId="2" borderId="0" xfId="26" applyNumberFormat="1" applyFont="1" applyFill="1" applyBorder="1"/>
    <xf numFmtId="165" fontId="13" fillId="2" borderId="3" xfId="26" applyNumberFormat="1" applyFont="1" applyFill="1" applyBorder="1"/>
    <xf numFmtId="165" fontId="16" fillId="2" borderId="0" xfId="26" applyNumberFormat="1" applyFont="1" applyFill="1" applyBorder="1"/>
    <xf numFmtId="165" fontId="16" fillId="2" borderId="3" xfId="26" applyNumberFormat="1" applyFont="1" applyFill="1" applyBorder="1"/>
    <xf numFmtId="0" fontId="13" fillId="2" borderId="2" xfId="24" applyFont="1" applyFill="1" applyBorder="1" applyAlignment="1">
      <alignment horizontal="center" wrapText="1"/>
      <protection/>
    </xf>
    <xf numFmtId="0" fontId="13" fillId="2" borderId="2" xfId="24" applyFont="1" applyFill="1" applyBorder="1" applyAlignment="1">
      <alignment/>
      <protection/>
    </xf>
    <xf numFmtId="0" fontId="16" fillId="2" borderId="2" xfId="24" applyFont="1" applyFill="1" applyBorder="1" applyAlignment="1">
      <alignment horizontal="left"/>
      <protection/>
    </xf>
    <xf numFmtId="0" fontId="13" fillId="2" borderId="4" xfId="24" applyFont="1" applyFill="1" applyBorder="1">
      <alignment/>
      <protection/>
    </xf>
    <xf numFmtId="164" fontId="16" fillId="2" borderId="1" xfId="25" applyNumberFormat="1" applyFont="1" applyFill="1" applyBorder="1"/>
    <xf numFmtId="0" fontId="13" fillId="2" borderId="2" xfId="24" applyFont="1" applyFill="1" applyBorder="1" applyAlignment="1">
      <alignment horizontal="right"/>
      <protection/>
    </xf>
    <xf numFmtId="164" fontId="32" fillId="2" borderId="0" xfId="25" applyNumberFormat="1" applyFont="1" applyFill="1" applyBorder="1" applyAlignment="1">
      <alignment horizontal="center"/>
    </xf>
    <xf numFmtId="164" fontId="32" fillId="2" borderId="3" xfId="25" applyNumberFormat="1" applyFont="1" applyFill="1" applyBorder="1" applyAlignment="1">
      <alignment horizontal="center"/>
    </xf>
    <xf numFmtId="167" fontId="15" fillId="2" borderId="0" xfId="26" applyNumberFormat="1" applyFont="1" applyFill="1" applyBorder="1"/>
    <xf numFmtId="167" fontId="15" fillId="2" borderId="3" xfId="26" applyNumberFormat="1" applyFont="1" applyFill="1" applyBorder="1"/>
    <xf numFmtId="165" fontId="27" fillId="2" borderId="0" xfId="26" applyNumberFormat="1" applyFont="1" applyFill="1" applyBorder="1"/>
    <xf numFmtId="165" fontId="27" fillId="2" borderId="3" xfId="26" applyNumberFormat="1" applyFont="1" applyFill="1" applyBorder="1"/>
    <xf numFmtId="167" fontId="27" fillId="2" borderId="0" xfId="26" applyNumberFormat="1" applyFont="1" applyFill="1" applyBorder="1"/>
    <xf numFmtId="167" fontId="27" fillId="2" borderId="3" xfId="26" applyNumberFormat="1" applyFont="1" applyFill="1" applyBorder="1"/>
    <xf numFmtId="164" fontId="26" fillId="2" borderId="1" xfId="25" applyNumberFormat="1" applyFont="1" applyFill="1" applyBorder="1"/>
    <xf numFmtId="164" fontId="26" fillId="2" borderId="5" xfId="25" applyNumberFormat="1" applyFont="1" applyFill="1" applyBorder="1"/>
    <xf numFmtId="164" fontId="26" fillId="2" borderId="0" xfId="25" applyNumberFormat="1" applyFont="1" applyFill="1" applyBorder="1"/>
    <xf numFmtId="164" fontId="26" fillId="2" borderId="3" xfId="25" applyNumberFormat="1" applyFont="1" applyFill="1" applyBorder="1"/>
    <xf numFmtId="37" fontId="18" fillId="2" borderId="0" xfId="0" applyNumberFormat="1" applyFont="1" applyFill="1" applyBorder="1"/>
    <xf numFmtId="1" fontId="18" fillId="2" borderId="0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165" fontId="18" fillId="2" borderId="0" xfId="0" applyNumberFormat="1" applyFont="1" applyFill="1" applyBorder="1"/>
    <xf numFmtId="0" fontId="33" fillId="2" borderId="0" xfId="0" applyFont="1" applyFill="1" applyBorder="1" applyAlignment="1">
      <alignment horizontal="center"/>
    </xf>
    <xf numFmtId="165" fontId="13" fillId="2" borderId="0" xfId="21" applyNumberFormat="1" applyFont="1" applyFill="1" applyBorder="1"/>
    <xf numFmtId="165" fontId="18" fillId="2" borderId="0" xfId="21" applyNumberFormat="1" applyFont="1" applyFill="1" applyBorder="1" applyAlignment="1">
      <alignment horizontal="right"/>
    </xf>
    <xf numFmtId="164" fontId="17" fillId="2" borderId="0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left" indent="1"/>
    </xf>
    <xf numFmtId="0" fontId="18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 vertical="center"/>
    </xf>
    <xf numFmtId="164" fontId="17" fillId="2" borderId="1" xfId="0" applyNumberFormat="1" applyFont="1" applyFill="1" applyBorder="1"/>
    <xf numFmtId="164" fontId="17" fillId="2" borderId="0" xfId="22" applyNumberFormat="1" applyFont="1" applyFill="1" applyBorder="1"/>
    <xf numFmtId="164" fontId="22" fillId="2" borderId="0" xfId="22" applyNumberFormat="1" applyFont="1" applyFill="1" applyBorder="1"/>
    <xf numFmtId="164" fontId="22" fillId="2" borderId="3" xfId="22" applyNumberFormat="1" applyFont="1" applyFill="1" applyBorder="1"/>
    <xf numFmtId="164" fontId="22" fillId="2" borderId="1" xfId="0" applyNumberFormat="1" applyFont="1" applyFill="1" applyBorder="1"/>
    <xf numFmtId="164" fontId="22" fillId="2" borderId="5" xfId="0" applyNumberFormat="1" applyFont="1" applyFill="1" applyBorder="1"/>
    <xf numFmtId="0" fontId="20" fillId="2" borderId="2" xfId="0" applyFont="1" applyFill="1" applyBorder="1" applyAlignment="1">
      <alignment horizontal="left" indent="1"/>
    </xf>
    <xf numFmtId="0" fontId="18" fillId="2" borderId="2" xfId="27" applyFont="1" applyFill="1" applyBorder="1">
      <alignment/>
      <protection/>
    </xf>
    <xf numFmtId="0" fontId="18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left" vertical="center" indent="2"/>
    </xf>
    <xf numFmtId="0" fontId="36" fillId="2" borderId="2" xfId="28" applyFont="1" applyFill="1" applyBorder="1" applyAlignment="1">
      <alignment wrapText="1"/>
      <protection/>
    </xf>
    <xf numFmtId="0" fontId="35" fillId="2" borderId="2" xfId="28" applyFont="1" applyFill="1" applyBorder="1">
      <alignment/>
      <protection/>
    </xf>
    <xf numFmtId="0" fontId="36" fillId="2" borderId="2" xfId="28" applyFont="1" applyFill="1" applyBorder="1">
      <alignment/>
      <protection/>
    </xf>
    <xf numFmtId="0" fontId="35" fillId="2" borderId="2" xfId="28" applyFont="1" applyFill="1" applyBorder="1" applyAlignment="1">
      <alignment vertical="top" wrapText="1"/>
      <protection/>
    </xf>
    <xf numFmtId="164" fontId="22" fillId="2" borderId="1" xfId="22" applyNumberFormat="1" applyFont="1" applyFill="1" applyBorder="1"/>
    <xf numFmtId="164" fontId="22" fillId="2" borderId="5" xfId="22" applyNumberFormat="1" applyFont="1" applyFill="1" applyBorder="1"/>
    <xf numFmtId="165" fontId="35" fillId="2" borderId="0" xfId="18" applyNumberFormat="1" applyFont="1" applyFill="1" applyBorder="1"/>
    <xf numFmtId="165" fontId="35" fillId="2" borderId="3" xfId="18" applyNumberFormat="1" applyFont="1" applyFill="1" applyBorder="1"/>
    <xf numFmtId="0" fontId="3" fillId="0" borderId="0" xfId="0" applyFont="1" applyAlignment="1">
      <alignment horizontal="center"/>
    </xf>
    <xf numFmtId="44" fontId="0" fillId="0" borderId="0" xfId="16" applyFont="1"/>
    <xf numFmtId="44" fontId="0" fillId="0" borderId="0" xfId="0" applyNumberFormat="1"/>
    <xf numFmtId="0" fontId="13" fillId="0" borderId="9" xfId="0" applyFont="1" applyBorder="1"/>
    <xf numFmtId="1" fontId="41" fillId="2" borderId="0" xfId="18" applyNumberFormat="1" applyFont="1" applyFill="1" applyBorder="1" applyAlignment="1">
      <alignment horizontal="center"/>
    </xf>
    <xf numFmtId="165" fontId="42" fillId="2" borderId="0" xfId="18" applyNumberFormat="1" applyFont="1" applyFill="1" applyBorder="1" applyAlignment="1">
      <alignment horizontal="center"/>
    </xf>
    <xf numFmtId="5" fontId="37" fillId="2" borderId="0" xfId="0" applyNumberFormat="1" applyFont="1" applyFill="1" applyBorder="1" applyAlignment="1">
      <alignment horizontal="left" vertical="top" indent="1"/>
    </xf>
    <xf numFmtId="5" fontId="38" fillId="2" borderId="0" xfId="0" applyNumberFormat="1" applyFont="1" applyFill="1" applyBorder="1" applyAlignment="1">
      <alignment vertical="top"/>
    </xf>
    <xf numFmtId="5" fontId="39" fillId="2" borderId="0" xfId="0" applyNumberFormat="1" applyFont="1" applyFill="1" applyBorder="1" applyAlignment="1">
      <alignment horizontal="left" vertical="top" indent="1"/>
    </xf>
    <xf numFmtId="5" fontId="39" fillId="2" borderId="0" xfId="0" applyNumberFormat="1" applyFont="1" applyFill="1" applyBorder="1" applyAlignment="1">
      <alignment vertical="top"/>
    </xf>
    <xf numFmtId="5" fontId="39" fillId="2" borderId="0" xfId="0" applyNumberFormat="1" applyFont="1" applyFill="1" applyBorder="1" applyAlignment="1">
      <alignment horizontal="left" vertical="top" wrapText="1" indent="1"/>
    </xf>
    <xf numFmtId="37" fontId="38" fillId="2" borderId="0" xfId="0" applyNumberFormat="1" applyFont="1" applyFill="1" applyBorder="1" applyAlignment="1">
      <alignment vertical="top"/>
    </xf>
    <xf numFmtId="5" fontId="38" fillId="2" borderId="0" xfId="0" applyNumberFormat="1" applyFont="1" applyFill="1" applyBorder="1" applyAlignment="1">
      <alignment horizontal="left" vertical="top"/>
    </xf>
    <xf numFmtId="0" fontId="39" fillId="2" borderId="0" xfId="0" applyFont="1" applyFill="1" applyBorder="1" applyAlignment="1">
      <alignment horizontal="left" vertical="top" indent="1"/>
    </xf>
    <xf numFmtId="164" fontId="45" fillId="2" borderId="0" xfId="16" applyNumberFormat="1" applyFont="1" applyFill="1" applyBorder="1"/>
    <xf numFmtId="165" fontId="42" fillId="2" borderId="0" xfId="18" applyNumberFormat="1" applyFont="1" applyFill="1" applyBorder="1"/>
    <xf numFmtId="164" fontId="43" fillId="2" borderId="0" xfId="16" applyNumberFormat="1" applyFont="1" applyFill="1" applyBorder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47" fillId="2" borderId="0" xfId="0" applyFont="1" applyFill="1" applyBorder="1" applyAlignment="1">
      <alignment horizontal="right"/>
    </xf>
    <xf numFmtId="0" fontId="42" fillId="2" borderId="0" xfId="0" applyFont="1" applyFill="1" applyBorder="1" applyAlignment="1">
      <alignment horizontal="right"/>
    </xf>
    <xf numFmtId="164" fontId="42" fillId="2" borderId="0" xfId="0" applyNumberFormat="1" applyFont="1" applyFill="1" applyBorder="1"/>
    <xf numFmtId="164" fontId="45" fillId="2" borderId="0" xfId="0" applyNumberFormat="1" applyFont="1" applyFill="1" applyBorder="1"/>
    <xf numFmtId="164" fontId="16" fillId="2" borderId="0" xfId="25" applyNumberFormat="1" applyFont="1" applyFill="1" applyBorder="1"/>
    <xf numFmtId="0" fontId="31" fillId="2" borderId="4" xfId="24" applyFont="1" applyFill="1" applyBorder="1" applyAlignment="1">
      <alignment horizontal="left" indent="2"/>
      <protection/>
    </xf>
    <xf numFmtId="164" fontId="13" fillId="2" borderId="1" xfId="25" applyNumberFormat="1" applyFont="1" applyFill="1" applyBorder="1"/>
    <xf numFmtId="165" fontId="13" fillId="2" borderId="1" xfId="18" applyNumberFormat="1" applyFont="1" applyFill="1" applyBorder="1"/>
    <xf numFmtId="165" fontId="13" fillId="2" borderId="5" xfId="18" applyNumberFormat="1" applyFont="1" applyFill="1" applyBorder="1"/>
    <xf numFmtId="0" fontId="13" fillId="2" borderId="2" xfId="24" applyFont="1" applyFill="1" applyBorder="1" applyAlignment="1">
      <alignment horizontal="right" wrapText="1"/>
      <protection/>
    </xf>
    <xf numFmtId="0" fontId="31" fillId="2" borderId="2" xfId="24" applyFont="1" applyFill="1" applyBorder="1" applyAlignment="1">
      <alignment horizontal="left" indent="1"/>
      <protection/>
    </xf>
    <xf numFmtId="165" fontId="18" fillId="2" borderId="3" xfId="0" applyNumberFormat="1" applyFont="1" applyFill="1" applyBorder="1"/>
    <xf numFmtId="0" fontId="21" fillId="2" borderId="2" xfId="0" applyFont="1" applyFill="1" applyBorder="1" applyAlignment="1">
      <alignment horizontal="left" indent="1"/>
    </xf>
    <xf numFmtId="0" fontId="37" fillId="2" borderId="0" xfId="0" applyFont="1" applyFill="1"/>
    <xf numFmtId="0" fontId="39" fillId="2" borderId="0" xfId="0" applyFont="1" applyFill="1"/>
    <xf numFmtId="0" fontId="37" fillId="2" borderId="13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39" fillId="0" borderId="0" xfId="0" applyFont="1"/>
    <xf numFmtId="0" fontId="38" fillId="0" borderId="0" xfId="0" applyFont="1"/>
    <xf numFmtId="165" fontId="39" fillId="0" borderId="0" xfId="21" applyNumberFormat="1" applyFont="1"/>
    <xf numFmtId="0" fontId="37" fillId="2" borderId="9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0" fontId="49" fillId="5" borderId="9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2" borderId="13" xfId="0" applyFont="1" applyFill="1" applyBorder="1" applyAlignment="1">
      <alignment horizontal="center"/>
    </xf>
    <xf numFmtId="0" fontId="50" fillId="2" borderId="15" xfId="0" applyFont="1" applyFill="1" applyBorder="1" applyAlignment="1">
      <alignment horizontal="center"/>
    </xf>
    <xf numFmtId="0" fontId="50" fillId="4" borderId="0" xfId="0" applyFont="1" applyFill="1" applyAlignment="1">
      <alignment horizontal="center"/>
    </xf>
    <xf numFmtId="6" fontId="51" fillId="2" borderId="0" xfId="0" applyNumberFormat="1" applyFont="1" applyFill="1" applyAlignment="1">
      <alignment horizontal="center"/>
    </xf>
    <xf numFmtId="6" fontId="51" fillId="2" borderId="13" xfId="0" applyNumberFormat="1" applyFont="1" applyFill="1" applyBorder="1" applyAlignment="1">
      <alignment horizontal="center"/>
    </xf>
    <xf numFmtId="6" fontId="51" fillId="4" borderId="0" xfId="0" applyNumberFormat="1" applyFont="1" applyFill="1" applyAlignment="1">
      <alignment horizontal="center"/>
    </xf>
    <xf numFmtId="6" fontId="38" fillId="0" borderId="0" xfId="0" applyNumberFormat="1" applyFont="1"/>
    <xf numFmtId="0" fontId="50" fillId="0" borderId="0" xfId="0" applyFont="1" applyAlignment="1">
      <alignment horizontal="center"/>
    </xf>
    <xf numFmtId="0" fontId="39" fillId="2" borderId="13" xfId="0" applyFont="1" applyFill="1" applyBorder="1"/>
    <xf numFmtId="0" fontId="39" fillId="4" borderId="0" xfId="0" applyFont="1" applyFill="1"/>
    <xf numFmtId="0" fontId="50" fillId="2" borderId="0" xfId="0" applyFont="1" applyFill="1"/>
    <xf numFmtId="165" fontId="39" fillId="2" borderId="0" xfId="21" applyNumberFormat="1" applyFont="1" applyFill="1"/>
    <xf numFmtId="164" fontId="39" fillId="0" borderId="0" xfId="22" applyNumberFormat="1" applyFont="1"/>
    <xf numFmtId="37" fontId="39" fillId="2" borderId="0" xfId="0" applyNumberFormat="1" applyFont="1" applyFill="1"/>
    <xf numFmtId="37" fontId="39" fillId="2" borderId="13" xfId="0" applyNumberFormat="1" applyFont="1" applyFill="1" applyBorder="1"/>
    <xf numFmtId="165" fontId="39" fillId="4" borderId="0" xfId="21" applyNumberFormat="1" applyFont="1" applyFill="1"/>
    <xf numFmtId="165" fontId="38" fillId="0" borderId="0" xfId="0" applyNumberFormat="1" applyFont="1"/>
    <xf numFmtId="0" fontId="39" fillId="0" borderId="0" xfId="0" applyFont="1" applyAlignment="1">
      <alignment horizontal="center"/>
    </xf>
    <xf numFmtId="164" fontId="49" fillId="0" borderId="0" xfId="22" applyNumberFormat="1" applyFont="1"/>
    <xf numFmtId="165" fontId="37" fillId="2" borderId="0" xfId="21" applyNumberFormat="1" applyFont="1" applyFill="1"/>
    <xf numFmtId="43" fontId="37" fillId="2" borderId="0" xfId="21" applyFont="1" applyFill="1"/>
    <xf numFmtId="37" fontId="37" fillId="2" borderId="13" xfId="0" applyNumberFormat="1" applyFont="1" applyFill="1" applyBorder="1"/>
    <xf numFmtId="165" fontId="37" fillId="2" borderId="13" xfId="21" applyNumberFormat="1" applyFont="1" applyFill="1" applyBorder="1"/>
    <xf numFmtId="37" fontId="39" fillId="4" borderId="0" xfId="0" applyNumberFormat="1" applyFont="1" applyFill="1"/>
    <xf numFmtId="0" fontId="39" fillId="2" borderId="0" xfId="0" applyFont="1" applyFill="1" applyAlignment="1">
      <alignment horizontal="left" indent="1"/>
    </xf>
    <xf numFmtId="0" fontId="49" fillId="2" borderId="0" xfId="0" applyFont="1" applyFill="1" applyAlignment="1">
      <alignment horizontal="center"/>
    </xf>
    <xf numFmtId="37" fontId="49" fillId="2" borderId="0" xfId="0" applyNumberFormat="1" applyFont="1" applyFill="1" applyBorder="1"/>
    <xf numFmtId="37" fontId="49" fillId="2" borderId="13" xfId="0" applyNumberFormat="1" applyFont="1" applyFill="1" applyBorder="1"/>
    <xf numFmtId="37" fontId="49" fillId="4" borderId="0" xfId="0" applyNumberFormat="1" applyFont="1" applyFill="1" applyBorder="1"/>
    <xf numFmtId="37" fontId="49" fillId="0" borderId="0" xfId="0" applyNumberFormat="1" applyFont="1" applyBorder="1"/>
    <xf numFmtId="0" fontId="37" fillId="2" borderId="0" xfId="0" applyFont="1" applyFill="1" applyAlignment="1">
      <alignment horizontal="right" wrapText="1"/>
    </xf>
    <xf numFmtId="37" fontId="37" fillId="2" borderId="0" xfId="0" applyNumberFormat="1" applyFont="1" applyFill="1"/>
    <xf numFmtId="0" fontId="38" fillId="0" borderId="0" xfId="0" applyFont="1" applyFill="1"/>
    <xf numFmtId="165" fontId="39" fillId="0" borderId="0" xfId="21" applyNumberFormat="1" applyFont="1" applyFill="1"/>
    <xf numFmtId="0" fontId="39" fillId="0" borderId="0" xfId="0" applyFont="1" applyFill="1"/>
    <xf numFmtId="0" fontId="37" fillId="2" borderId="0" xfId="0" applyFont="1" applyFill="1" applyAlignment="1">
      <alignment horizontal="right"/>
    </xf>
    <xf numFmtId="165" fontId="37" fillId="2" borderId="0" xfId="0" applyNumberFormat="1" applyFont="1" applyFill="1"/>
    <xf numFmtId="165" fontId="39" fillId="2" borderId="0" xfId="0" applyNumberFormat="1" applyFont="1" applyFill="1"/>
    <xf numFmtId="165" fontId="39" fillId="4" borderId="0" xfId="0" applyNumberFormat="1" applyFont="1" applyFill="1"/>
    <xf numFmtId="165" fontId="39" fillId="0" borderId="0" xfId="0" applyNumberFormat="1" applyFont="1"/>
    <xf numFmtId="165" fontId="39" fillId="2" borderId="13" xfId="21" applyNumberFormat="1" applyFont="1" applyFill="1" applyBorder="1"/>
    <xf numFmtId="165" fontId="37" fillId="0" borderId="0" xfId="21" applyNumberFormat="1" applyFont="1"/>
    <xf numFmtId="0" fontId="39" fillId="2" borderId="0" xfId="0" applyFont="1" applyFill="1" applyAlignment="1">
      <alignment horizontal="left" indent="2"/>
    </xf>
    <xf numFmtId="0" fontId="39" fillId="2" borderId="0" xfId="0" applyFont="1" applyFill="1" applyAlignment="1">
      <alignment horizontal="left" indent="3"/>
    </xf>
    <xf numFmtId="168" fontId="39" fillId="0" borderId="0" xfId="23" applyNumberFormat="1" applyFont="1"/>
    <xf numFmtId="165" fontId="49" fillId="2" borderId="0" xfId="21" applyNumberFormat="1" applyFont="1" applyFill="1" applyBorder="1"/>
    <xf numFmtId="165" fontId="49" fillId="2" borderId="13" xfId="21" applyNumberFormat="1" applyFont="1" applyFill="1" applyBorder="1"/>
    <xf numFmtId="165" fontId="49" fillId="4" borderId="0" xfId="21" applyNumberFormat="1" applyFont="1" applyFill="1" applyBorder="1"/>
    <xf numFmtId="165" fontId="49" fillId="0" borderId="0" xfId="21" applyNumberFormat="1" applyFont="1" applyBorder="1"/>
    <xf numFmtId="165" fontId="37" fillId="2" borderId="0" xfId="21" applyNumberFormat="1" applyFont="1" applyFill="1" applyBorder="1"/>
    <xf numFmtId="165" fontId="37" fillId="4" borderId="0" xfId="21" applyNumberFormat="1" applyFont="1" applyFill="1" applyBorder="1"/>
    <xf numFmtId="0" fontId="49" fillId="2" borderId="0" xfId="0" applyFont="1" applyFill="1" applyAlignment="1">
      <alignment horizontal="left"/>
    </xf>
    <xf numFmtId="165" fontId="51" fillId="2" borderId="0" xfId="21" applyNumberFormat="1" applyFont="1" applyFill="1" applyBorder="1"/>
    <xf numFmtId="165" fontId="51" fillId="2" borderId="13" xfId="21" applyNumberFormat="1" applyFont="1" applyFill="1" applyBorder="1"/>
    <xf numFmtId="165" fontId="51" fillId="4" borderId="0" xfId="21" applyNumberFormat="1" applyFont="1" applyFill="1" applyBorder="1"/>
    <xf numFmtId="165" fontId="52" fillId="0" borderId="0" xfId="21" applyNumberFormat="1" applyFont="1" applyBorder="1"/>
    <xf numFmtId="37" fontId="38" fillId="0" borderId="0" xfId="0" applyNumberFormat="1" applyFont="1"/>
    <xf numFmtId="0" fontId="37" fillId="2" borderId="0" xfId="0" applyFont="1" applyFill="1" applyAlignment="1">
      <alignment/>
    </xf>
    <xf numFmtId="6" fontId="53" fillId="2" borderId="0" xfId="22" applyNumberFormat="1" applyFont="1" applyFill="1"/>
    <xf numFmtId="6" fontId="53" fillId="2" borderId="13" xfId="22" applyNumberFormat="1" applyFont="1" applyFill="1" applyBorder="1"/>
    <xf numFmtId="6" fontId="53" fillId="4" borderId="0" xfId="22" applyNumberFormat="1" applyFont="1" applyFill="1"/>
    <xf numFmtId="6" fontId="54" fillId="0" borderId="0" xfId="22" applyNumberFormat="1" applyFont="1"/>
    <xf numFmtId="37" fontId="39" fillId="0" borderId="0" xfId="0" applyNumberFormat="1" applyFont="1"/>
    <xf numFmtId="37" fontId="39" fillId="0" borderId="0" xfId="0" applyNumberFormat="1" applyFont="1" applyFill="1"/>
    <xf numFmtId="0" fontId="39" fillId="0" borderId="0" xfId="0" applyFont="1" applyAlignment="1">
      <alignment/>
    </xf>
    <xf numFmtId="39" fontId="39" fillId="0" borderId="0" xfId="0" applyNumberFormat="1" applyFont="1"/>
    <xf numFmtId="0" fontId="39" fillId="0" borderId="0" xfId="0" applyFont="1" applyAlignment="1">
      <alignment horizontal="left" indent="1"/>
    </xf>
    <xf numFmtId="6" fontId="39" fillId="0" borderId="0" xfId="0" applyNumberFormat="1" applyFont="1"/>
    <xf numFmtId="0" fontId="18" fillId="2" borderId="2" xfId="20" applyFont="1" applyFill="1" applyBorder="1" applyAlignment="1">
      <alignment horizontal="left" indent="2"/>
      <protection/>
    </xf>
    <xf numFmtId="165" fontId="39" fillId="2" borderId="0" xfId="21" applyNumberFormat="1" applyFont="1" applyFill="1"/>
    <xf numFmtId="0" fontId="39" fillId="2" borderId="0" xfId="0" applyFont="1" applyFill="1" applyAlignment="1">
      <alignment horizontal="left" indent="2"/>
    </xf>
    <xf numFmtId="0" fontId="39" fillId="2" borderId="0" xfId="0" applyFont="1" applyFill="1" applyAlignment="1">
      <alignment horizontal="left" indent="3"/>
    </xf>
    <xf numFmtId="37" fontId="37" fillId="6" borderId="0" xfId="0" applyNumberFormat="1" applyFont="1" applyFill="1"/>
    <xf numFmtId="0" fontId="7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  <cellStyle name="Percent 2" xfId="23"/>
    <cellStyle name="Normal 3" xfId="24"/>
    <cellStyle name="Currency 3" xfId="25"/>
    <cellStyle name="Comma 3" xfId="26"/>
    <cellStyle name="Normal 4" xfId="27"/>
    <cellStyle name="Normal_2015 and 5 YR CIP_091014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Calibri"/>
                <a:ea typeface="Calibri"/>
                <a:cs typeface="Calibri"/>
              </a:rPr>
              <a:t>Summary by Funding Source (2019 - 2023)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255"/>
                  <c:y val="0.0185"/>
                </c:manualLayout>
              </c:layout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73"/>
                  <c:y val="0.025"/>
                </c:manualLayout>
              </c:layout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875"/>
                  <c:y val="-0.0055"/>
                </c:manualLayout>
              </c:layout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875"/>
                  <c:y val="-0.00675"/>
                </c:manualLayout>
              </c:layout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625"/>
                  <c:y val="0.0075"/>
                </c:manualLayout>
              </c:layout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5725"/>
                  <c:y val="0.00175"/>
                </c:manualLayout>
              </c:layout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75"/>
                  <c:y val="0.0045"/>
                </c:manualLayout>
              </c:layout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1705"/>
                  <c:y val="-0.012"/>
                </c:manualLayout>
              </c:layout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sng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'Summary by Funding Source'!$A$2:$A$9</c:f>
              <c:strCache/>
            </c:strRef>
          </c:cat>
          <c:val>
            <c:numRef>
              <c:f>'Summary by Funding Source'!$B$2:$B$9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7</xdr:row>
      <xdr:rowOff>66675</xdr:rowOff>
    </xdr:from>
    <xdr:to>
      <xdr:col>17</xdr:col>
      <xdr:colOff>590550</xdr:colOff>
      <xdr:row>29</xdr:row>
      <xdr:rowOff>57150</xdr:rowOff>
    </xdr:to>
    <xdr:graphicFrame macro="">
      <xdr:nvGraphicFramePr>
        <xdr:cNvPr id="4" name="Chart 3"/>
        <xdr:cNvGraphicFramePr/>
      </xdr:nvGraphicFramePr>
      <xdr:xfrm>
        <a:off x="10515600" y="1466850"/>
        <a:ext cx="5810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Budgets\Capital%20Improvement%20Plan\2019%20-%202023%20Capital%20Improvement%20Plan\2019%20Facilities%20Maintenance%205-Yr%20P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Budgets\Capital%20Improvement%20Plan\Parks%20CIP\2019\2019-06-30%20Parks%20CI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Budgets\Capital%20Improvement%20Plan\Parks%20CIP\2018\2040%20Open%20Space%20CIP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Budgets\2019\Enterprise%20Funds\601-Water\Water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Summary"/>
      <sheetName val="2019 Budget"/>
      <sheetName val="JE - Monthly Chargeback"/>
      <sheetName val="Cost Allocation for 2019"/>
      <sheetName val="Cost Allocation for 2020"/>
      <sheetName val="Breakdown 2018"/>
      <sheetName val="Breakdown 2020"/>
      <sheetName val="Totals"/>
      <sheetName val="Breakdown"/>
      <sheetName val="Breakdown (2)"/>
      <sheetName val="CH Garage"/>
    </sheetNames>
    <sheetDataSet>
      <sheetData sheetId="0"/>
      <sheetData sheetId="1"/>
      <sheetData sheetId="2"/>
      <sheetData sheetId="3">
        <row r="31">
          <cell r="E31">
            <v>852110</v>
          </cell>
          <cell r="H31">
            <v>75020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ks CIP-80%-20% #3"/>
      <sheetName val="Est Loans 80-20"/>
      <sheetName val="Actual Loans 80-20"/>
    </sheetNames>
    <sheetDataSet>
      <sheetData sheetId="0"/>
      <sheetData sheetId="1">
        <row r="5">
          <cell r="B5">
            <v>0</v>
          </cell>
          <cell r="C5">
            <v>40000</v>
          </cell>
        </row>
        <row r="6">
          <cell r="B6">
            <v>450000</v>
          </cell>
          <cell r="C6">
            <v>59000</v>
          </cell>
        </row>
        <row r="7">
          <cell r="B7">
            <v>500000</v>
          </cell>
          <cell r="C7">
            <v>50000</v>
          </cell>
        </row>
        <row r="9">
          <cell r="C9">
            <v>31000</v>
          </cell>
        </row>
        <row r="10">
          <cell r="C10">
            <v>22000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25">
          <cell r="Q25">
            <v>131982.1143</v>
          </cell>
          <cell r="S25">
            <v>31212</v>
          </cell>
        </row>
      </sheetData>
      <sheetData sheetId="2">
        <row r="8">
          <cell r="B8">
            <v>450000</v>
          </cell>
          <cell r="C8">
            <v>40000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 Open Space 80-20%"/>
      <sheetName val="2016 Open Space 80-20%"/>
      <sheetName val="2015 Open Space 80-20%"/>
      <sheetName val="Wetland Crdts"/>
      <sheetName val="EDA Lo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d Summary"/>
      <sheetName val="Annual Budget-Operating"/>
      <sheetName val="Water Exp. Detail-Operating"/>
      <sheetName val="5-Year Model-Capital"/>
      <sheetName val="Avg. Cust-Res"/>
      <sheetName val="Avg. Cust-CI"/>
      <sheetName val="Chart1"/>
      <sheetName val="Sheet1"/>
    </sheetNames>
    <sheetDataSet>
      <sheetData sheetId="0">
        <row r="12">
          <cell r="P12">
            <v>652983</v>
          </cell>
        </row>
        <row r="50">
          <cell r="P50">
            <v>2743508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 topLeftCell="A4">
      <selection activeCell="J11" sqref="J11"/>
    </sheetView>
  </sheetViews>
  <sheetFormatPr defaultColWidth="9.00390625" defaultRowHeight="15.75"/>
  <cols>
    <col min="1" max="1" width="33.875" style="11" bestFit="1" customWidth="1"/>
    <col min="2" max="3" width="11.375" style="11" bestFit="1" customWidth="1"/>
    <col min="4" max="5" width="11.125" style="11" bestFit="1" customWidth="1"/>
    <col min="6" max="7" width="11.375" style="11" bestFit="1" customWidth="1"/>
  </cols>
  <sheetData>
    <row r="1" spans="1:2" ht="15.75">
      <c r="A1" s="445" t="s">
        <v>209</v>
      </c>
      <c r="B1" s="445"/>
    </row>
    <row r="3" ht="15.75">
      <c r="A3" s="11" t="s">
        <v>0</v>
      </c>
    </row>
    <row r="5" spans="2:7" ht="15.75">
      <c r="B5" s="12">
        <v>2018</v>
      </c>
      <c r="C5" s="12">
        <f>B5+1</f>
        <v>2019</v>
      </c>
      <c r="D5" s="12">
        <f>C5+1</f>
        <v>2020</v>
      </c>
      <c r="E5" s="12">
        <f>D5+1</f>
        <v>2021</v>
      </c>
      <c r="F5" s="12">
        <f>E5+1</f>
        <v>2022</v>
      </c>
      <c r="G5" s="12">
        <f>F5+1</f>
        <v>2023</v>
      </c>
    </row>
    <row r="6" spans="1:7" ht="15.75">
      <c r="A6" s="13" t="s">
        <v>19</v>
      </c>
      <c r="B6" s="14">
        <v>3000000</v>
      </c>
      <c r="C6" s="14">
        <f>B36</f>
        <v>3040500</v>
      </c>
      <c r="D6" s="14">
        <f>C36</f>
        <v>3081550</v>
      </c>
      <c r="E6" s="14">
        <f>D36</f>
        <v>3123150</v>
      </c>
      <c r="F6" s="14">
        <f>E36</f>
        <v>3165310</v>
      </c>
      <c r="G6" s="14">
        <f>F36</f>
        <v>3208040</v>
      </c>
    </row>
    <row r="7" spans="1:7" ht="5.25" customHeight="1">
      <c r="A7" s="13"/>
      <c r="B7" s="15"/>
      <c r="C7" s="15"/>
      <c r="D7" s="15"/>
      <c r="E7" s="15"/>
      <c r="F7" s="15"/>
      <c r="G7" s="15"/>
    </row>
    <row r="8" spans="1:10" ht="15.75">
      <c r="A8" s="11" t="s">
        <v>3</v>
      </c>
      <c r="B8" s="16"/>
      <c r="C8" s="16"/>
      <c r="D8" s="16"/>
      <c r="E8" s="16"/>
      <c r="F8" s="16"/>
      <c r="G8" s="16"/>
      <c r="H8" s="6"/>
      <c r="I8" s="6"/>
      <c r="J8" s="6"/>
    </row>
    <row r="9" spans="1:10" ht="15.75">
      <c r="A9" s="17" t="s">
        <v>7</v>
      </c>
      <c r="B9" s="16"/>
      <c r="C9" s="16"/>
      <c r="D9" s="16"/>
      <c r="E9" s="16"/>
      <c r="F9" s="16"/>
      <c r="G9" s="16"/>
      <c r="H9" s="6"/>
      <c r="I9" s="6"/>
      <c r="J9" s="6"/>
    </row>
    <row r="10" spans="1:10" ht="15.75">
      <c r="A10" s="17" t="s">
        <v>8</v>
      </c>
      <c r="B10" s="16"/>
      <c r="C10" s="16"/>
      <c r="D10" s="16"/>
      <c r="E10" s="16"/>
      <c r="F10" s="16"/>
      <c r="G10" s="16"/>
      <c r="H10" s="6"/>
      <c r="I10" s="6"/>
      <c r="J10" s="6"/>
    </row>
    <row r="11" spans="1:10" ht="15.75">
      <c r="A11" s="17" t="s">
        <v>9</v>
      </c>
      <c r="B11" s="16">
        <f aca="true" t="shared" si="0" ref="B11:G11">ROUND(B6*0.9*0.015,-1)</f>
        <v>40500</v>
      </c>
      <c r="C11" s="16">
        <f t="shared" si="0"/>
        <v>41050</v>
      </c>
      <c r="D11" s="16">
        <f t="shared" si="0"/>
        <v>41600</v>
      </c>
      <c r="E11" s="16">
        <f t="shared" si="0"/>
        <v>42160</v>
      </c>
      <c r="F11" s="16">
        <f t="shared" si="0"/>
        <v>42730</v>
      </c>
      <c r="G11" s="16">
        <f t="shared" si="0"/>
        <v>43310</v>
      </c>
      <c r="H11" s="6"/>
      <c r="I11" s="6"/>
      <c r="J11" s="6"/>
    </row>
    <row r="12" spans="1:10" ht="15.75">
      <c r="A12" s="17"/>
      <c r="B12" s="16"/>
      <c r="C12" s="16"/>
      <c r="D12" s="16"/>
      <c r="E12" s="16"/>
      <c r="F12" s="16"/>
      <c r="G12" s="16"/>
      <c r="H12" s="6"/>
      <c r="I12" s="6"/>
      <c r="J12" s="6"/>
    </row>
    <row r="13" spans="1:10" ht="15.75">
      <c r="A13" s="17"/>
      <c r="B13" s="16"/>
      <c r="C13" s="16"/>
      <c r="D13" s="16"/>
      <c r="E13" s="16"/>
      <c r="F13" s="16"/>
      <c r="G13" s="16"/>
      <c r="H13" s="6"/>
      <c r="I13" s="6"/>
      <c r="J13" s="6"/>
    </row>
    <row r="14" spans="1:10" ht="15.75">
      <c r="A14" s="18" t="s">
        <v>4</v>
      </c>
      <c r="B14" s="15">
        <f aca="true" t="shared" si="1" ref="B14:G14">SUM(B8:B13)</f>
        <v>40500</v>
      </c>
      <c r="C14" s="15">
        <f t="shared" si="1"/>
        <v>41050</v>
      </c>
      <c r="D14" s="15">
        <f t="shared" si="1"/>
        <v>41600</v>
      </c>
      <c r="E14" s="15">
        <f t="shared" si="1"/>
        <v>42160</v>
      </c>
      <c r="F14" s="15">
        <f t="shared" si="1"/>
        <v>42730</v>
      </c>
      <c r="G14" s="15">
        <f t="shared" si="1"/>
        <v>43310</v>
      </c>
      <c r="H14" s="3"/>
      <c r="I14" s="3"/>
      <c r="J14" s="6"/>
    </row>
    <row r="15" spans="1:10" ht="5.25" customHeight="1">
      <c r="A15" s="17"/>
      <c r="B15" s="16"/>
      <c r="C15" s="16"/>
      <c r="D15" s="16"/>
      <c r="E15" s="16"/>
      <c r="F15" s="16"/>
      <c r="G15" s="16"/>
      <c r="H15" s="6"/>
      <c r="I15" s="6"/>
      <c r="J15" s="6"/>
    </row>
    <row r="16" spans="1:10" ht="15.75">
      <c r="A16" s="11" t="s">
        <v>1</v>
      </c>
      <c r="B16" s="16"/>
      <c r="C16" s="16"/>
      <c r="D16" s="16"/>
      <c r="E16" s="16"/>
      <c r="F16" s="16"/>
      <c r="G16" s="16"/>
      <c r="H16" s="6"/>
      <c r="I16" s="6"/>
      <c r="J16" s="6"/>
    </row>
    <row r="17" spans="1:10" ht="15.75">
      <c r="A17" s="17"/>
      <c r="B17" s="16"/>
      <c r="C17" s="16"/>
      <c r="D17" s="16"/>
      <c r="E17" s="16"/>
      <c r="F17" s="16"/>
      <c r="G17" s="16"/>
      <c r="H17" s="6"/>
      <c r="I17" s="6"/>
      <c r="J17" s="6"/>
    </row>
    <row r="18" spans="1:10" ht="15.75">
      <c r="A18" s="17"/>
      <c r="B18" s="16"/>
      <c r="C18" s="16"/>
      <c r="D18" s="16"/>
      <c r="E18" s="16"/>
      <c r="F18" s="16"/>
      <c r="G18" s="16"/>
      <c r="H18" s="6"/>
      <c r="I18" s="6"/>
      <c r="J18" s="6"/>
    </row>
    <row r="19" spans="1:10" ht="15.75">
      <c r="A19" s="17"/>
      <c r="B19" s="16"/>
      <c r="C19" s="16"/>
      <c r="D19" s="16"/>
      <c r="E19" s="16"/>
      <c r="F19" s="16"/>
      <c r="G19" s="16"/>
      <c r="H19" s="6"/>
      <c r="I19" s="6"/>
      <c r="J19" s="6"/>
    </row>
    <row r="20" spans="1:10" ht="15.75">
      <c r="A20" s="17"/>
      <c r="B20" s="16"/>
      <c r="C20" s="16"/>
      <c r="D20" s="16"/>
      <c r="E20" s="16"/>
      <c r="F20" s="16"/>
      <c r="G20" s="16"/>
      <c r="H20" s="6"/>
      <c r="I20" s="6"/>
      <c r="J20" s="6"/>
    </row>
    <row r="21" spans="1:10" ht="15.75">
      <c r="A21" s="17"/>
      <c r="B21" s="16"/>
      <c r="C21" s="16"/>
      <c r="D21" s="16"/>
      <c r="E21" s="16"/>
      <c r="F21" s="16"/>
      <c r="G21" s="16"/>
      <c r="H21" s="6"/>
      <c r="I21" s="6"/>
      <c r="J21" s="6"/>
    </row>
    <row r="22" spans="1:10" ht="15.75">
      <c r="A22" s="17"/>
      <c r="B22" s="16"/>
      <c r="C22" s="16"/>
      <c r="D22" s="16"/>
      <c r="E22" s="16"/>
      <c r="F22" s="16"/>
      <c r="G22" s="16"/>
      <c r="H22" s="6"/>
      <c r="I22" s="6"/>
      <c r="J22" s="6"/>
    </row>
    <row r="23" spans="1:10" ht="15.75">
      <c r="A23" s="17"/>
      <c r="B23" s="16"/>
      <c r="C23" s="16"/>
      <c r="D23" s="16"/>
      <c r="E23" s="16"/>
      <c r="F23" s="16"/>
      <c r="G23" s="16"/>
      <c r="H23" s="6"/>
      <c r="I23" s="6"/>
      <c r="J23" s="6"/>
    </row>
    <row r="24" spans="1:10" ht="15.75">
      <c r="A24" s="17"/>
      <c r="B24" s="16"/>
      <c r="C24" s="16"/>
      <c r="D24" s="16"/>
      <c r="E24" s="16"/>
      <c r="F24" s="16"/>
      <c r="G24" s="16"/>
      <c r="H24" s="6"/>
      <c r="I24" s="6"/>
      <c r="J24" s="6"/>
    </row>
    <row r="25" spans="1:10" ht="15.75">
      <c r="A25" s="17"/>
      <c r="B25" s="16"/>
      <c r="C25" s="16"/>
      <c r="D25" s="16"/>
      <c r="E25" s="16"/>
      <c r="F25" s="16"/>
      <c r="G25" s="16"/>
      <c r="H25" s="6"/>
      <c r="I25" s="6"/>
      <c r="J25" s="6"/>
    </row>
    <row r="26" spans="1:10" ht="15.75">
      <c r="A26" s="17"/>
      <c r="B26" s="16"/>
      <c r="C26" s="16"/>
      <c r="D26" s="16"/>
      <c r="E26" s="16"/>
      <c r="F26" s="16"/>
      <c r="G26" s="16"/>
      <c r="H26" s="6"/>
      <c r="I26" s="6"/>
      <c r="J26" s="6"/>
    </row>
    <row r="27" spans="1:10" ht="15.75">
      <c r="A27" s="17"/>
      <c r="B27" s="16"/>
      <c r="C27" s="16"/>
      <c r="D27" s="16"/>
      <c r="E27" s="16"/>
      <c r="F27" s="16"/>
      <c r="G27" s="16"/>
      <c r="H27" s="6"/>
      <c r="I27" s="6"/>
      <c r="J27" s="6"/>
    </row>
    <row r="28" spans="1:10" ht="15.75">
      <c r="A28" s="17"/>
      <c r="B28" s="16"/>
      <c r="C28" s="16"/>
      <c r="D28" s="16"/>
      <c r="E28" s="16"/>
      <c r="F28" s="16"/>
      <c r="G28" s="16"/>
      <c r="H28" s="6"/>
      <c r="I28" s="6"/>
      <c r="J28" s="6"/>
    </row>
    <row r="29" spans="1:10" ht="15.75">
      <c r="A29" s="17"/>
      <c r="B29" s="16"/>
      <c r="C29" s="16"/>
      <c r="D29" s="16"/>
      <c r="E29" s="16"/>
      <c r="F29" s="16"/>
      <c r="G29" s="16"/>
      <c r="H29" s="6"/>
      <c r="I29" s="6"/>
      <c r="J29" s="6"/>
    </row>
    <row r="30" spans="1:10" ht="15.75">
      <c r="A30" s="17"/>
      <c r="B30" s="16"/>
      <c r="C30" s="16"/>
      <c r="D30" s="16"/>
      <c r="E30" s="16"/>
      <c r="F30" s="16"/>
      <c r="G30" s="16"/>
      <c r="H30" s="6"/>
      <c r="I30" s="6"/>
      <c r="J30" s="6"/>
    </row>
    <row r="31" spans="1:10" ht="15.75">
      <c r="A31" s="17"/>
      <c r="B31" s="16"/>
      <c r="C31" s="16"/>
      <c r="D31" s="16"/>
      <c r="E31" s="16"/>
      <c r="F31" s="16"/>
      <c r="G31" s="16"/>
      <c r="H31" s="6"/>
      <c r="I31" s="6"/>
      <c r="J31" s="6"/>
    </row>
    <row r="32" spans="1:9" ht="15.75">
      <c r="A32" s="18" t="s">
        <v>2</v>
      </c>
      <c r="B32" s="15">
        <f aca="true" t="shared" si="2" ref="B32:G32">SUM(B16:B31)</f>
        <v>0</v>
      </c>
      <c r="C32" s="15">
        <f t="shared" si="2"/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3"/>
      <c r="I32" s="3"/>
    </row>
    <row r="33" ht="5.25" customHeight="1"/>
    <row r="34" spans="1:7" ht="15.75">
      <c r="A34" s="11" t="s">
        <v>5</v>
      </c>
      <c r="B34" s="19">
        <f aca="true" t="shared" si="3" ref="B34:G34">+B14-B32</f>
        <v>40500</v>
      </c>
      <c r="C34" s="19">
        <f t="shared" si="3"/>
        <v>41050</v>
      </c>
      <c r="D34" s="19">
        <f t="shared" si="3"/>
        <v>41600</v>
      </c>
      <c r="E34" s="19">
        <f t="shared" si="3"/>
        <v>42160</v>
      </c>
      <c r="F34" s="19">
        <f t="shared" si="3"/>
        <v>42730</v>
      </c>
      <c r="G34" s="19">
        <f t="shared" si="3"/>
        <v>43310</v>
      </c>
    </row>
    <row r="35" ht="5.25" customHeight="1"/>
    <row r="36" spans="1:7" ht="15.75">
      <c r="A36" s="13" t="s">
        <v>6</v>
      </c>
      <c r="B36" s="20">
        <f aca="true" t="shared" si="4" ref="B36:G36">+B6+B34</f>
        <v>3040500</v>
      </c>
      <c r="C36" s="20">
        <f t="shared" si="4"/>
        <v>3081550</v>
      </c>
      <c r="D36" s="20">
        <f t="shared" si="4"/>
        <v>3123150</v>
      </c>
      <c r="E36" s="20">
        <f t="shared" si="4"/>
        <v>3165310</v>
      </c>
      <c r="F36" s="20">
        <f t="shared" si="4"/>
        <v>3208040</v>
      </c>
      <c r="G36" s="20">
        <f t="shared" si="4"/>
        <v>3251350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8"/>
  <sheetViews>
    <sheetView tabSelected="1" zoomScale="75" zoomScaleNormal="75" workbookViewId="0" topLeftCell="A1">
      <pane ySplit="3" topLeftCell="A4" activePane="bottomLeft" state="frozen"/>
      <selection pane="bottomLeft" activeCell="K1" sqref="K1:K1048576"/>
    </sheetView>
  </sheetViews>
  <sheetFormatPr defaultColWidth="9.00390625" defaultRowHeight="15.75"/>
  <cols>
    <col min="1" max="1" width="53.875" style="82" customWidth="1"/>
    <col min="2" max="2" width="10.00390625" style="82" hidden="1" customWidth="1"/>
    <col min="3" max="5" width="9.625" style="82" hidden="1" customWidth="1"/>
    <col min="6" max="6" width="12.125" style="82" hidden="1" customWidth="1"/>
    <col min="7" max="7" width="11.875" style="82" hidden="1" customWidth="1"/>
    <col min="8" max="8" width="13.00390625" style="82" hidden="1" customWidth="1"/>
    <col min="9" max="9" width="18.50390625" style="82" hidden="1" customWidth="1"/>
    <col min="10" max="10" width="14.625" style="82" hidden="1" customWidth="1"/>
    <col min="11" max="11" width="15.75390625" style="82" customWidth="1"/>
    <col min="12" max="14" width="14.375" style="82" bestFit="1" customWidth="1"/>
    <col min="15" max="16" width="12.50390625" style="82" bestFit="1" customWidth="1"/>
    <col min="17" max="17" width="13.625" style="82" customWidth="1"/>
    <col min="18" max="18" width="12.875" style="82" customWidth="1"/>
    <col min="19" max="19" width="12.625" style="82" customWidth="1"/>
    <col min="20" max="20" width="16.25390625" style="82" customWidth="1"/>
    <col min="21" max="21" width="14.875" style="82" customWidth="1"/>
    <col min="22" max="22" width="14.375" style="82" customWidth="1"/>
    <col min="23" max="23" width="14.875" style="82" customWidth="1"/>
    <col min="24" max="24" width="14.75390625" style="82" customWidth="1"/>
    <col min="25" max="25" width="15.75390625" style="82" customWidth="1"/>
    <col min="26" max="26" width="14.75390625" style="82" customWidth="1"/>
    <col min="27" max="27" width="16.75390625" style="82" customWidth="1"/>
    <col min="28" max="28" width="14.00390625" style="82" customWidth="1"/>
    <col min="29" max="29" width="13.875" style="82" customWidth="1"/>
    <col min="30" max="30" width="14.00390625" style="82" customWidth="1"/>
    <col min="31" max="31" width="14.50390625" style="82" customWidth="1"/>
    <col min="32" max="32" width="1.4921875" style="82" customWidth="1"/>
    <col min="33" max="33" width="10.625" style="91" hidden="1" customWidth="1"/>
    <col min="34" max="34" width="9.625" style="82" bestFit="1" customWidth="1"/>
    <col min="35" max="16384" width="9.00390625" style="82" customWidth="1"/>
  </cols>
  <sheetData>
    <row r="1" spans="1:33" ht="15.75">
      <c r="A1" s="243" t="s">
        <v>167</v>
      </c>
      <c r="B1" s="86"/>
      <c r="C1" s="86"/>
      <c r="D1" s="86"/>
      <c r="E1" s="210"/>
      <c r="F1" s="86"/>
      <c r="G1" s="86"/>
      <c r="H1" s="210"/>
      <c r="I1" s="210" t="s">
        <v>210</v>
      </c>
      <c r="J1" s="210" t="s">
        <v>210</v>
      </c>
      <c r="K1" s="210" t="s">
        <v>210</v>
      </c>
      <c r="L1" s="210" t="s">
        <v>211</v>
      </c>
      <c r="M1" s="210" t="s">
        <v>211</v>
      </c>
      <c r="N1" s="210" t="s">
        <v>211</v>
      </c>
      <c r="O1" s="210" t="s">
        <v>211</v>
      </c>
      <c r="P1" s="210" t="s">
        <v>211</v>
      </c>
      <c r="Q1" s="81" t="s">
        <v>211</v>
      </c>
      <c r="R1" s="80" t="s">
        <v>211</v>
      </c>
      <c r="S1" s="80" t="s">
        <v>211</v>
      </c>
      <c r="T1" s="80" t="s">
        <v>211</v>
      </c>
      <c r="U1" s="80" t="s">
        <v>211</v>
      </c>
      <c r="V1" s="80" t="s">
        <v>211</v>
      </c>
      <c r="W1" s="80" t="s">
        <v>211</v>
      </c>
      <c r="X1" s="80" t="s">
        <v>211</v>
      </c>
      <c r="Y1" s="80" t="s">
        <v>211</v>
      </c>
      <c r="Z1" s="80" t="s">
        <v>211</v>
      </c>
      <c r="AA1" s="80" t="s">
        <v>211</v>
      </c>
      <c r="AB1" s="80" t="s">
        <v>211</v>
      </c>
      <c r="AC1" s="80" t="s">
        <v>211</v>
      </c>
      <c r="AD1" s="80" t="s">
        <v>211</v>
      </c>
      <c r="AE1" s="80" t="s">
        <v>211</v>
      </c>
      <c r="AG1" s="82"/>
    </row>
    <row r="2" spans="1:33" ht="15.75">
      <c r="A2" s="240" t="s">
        <v>0</v>
      </c>
      <c r="B2" s="79">
        <v>2010</v>
      </c>
      <c r="C2" s="79">
        <f aca="true" t="shared" si="0" ref="C2:I2">+B2+1</f>
        <v>2011</v>
      </c>
      <c r="D2" s="79">
        <f t="shared" si="0"/>
        <v>2012</v>
      </c>
      <c r="E2" s="79">
        <f t="shared" si="0"/>
        <v>2013</v>
      </c>
      <c r="F2" s="79">
        <f t="shared" si="0"/>
        <v>2014</v>
      </c>
      <c r="G2" s="79">
        <f t="shared" si="0"/>
        <v>2015</v>
      </c>
      <c r="H2" s="79">
        <f t="shared" si="0"/>
        <v>2016</v>
      </c>
      <c r="I2" s="79">
        <f t="shared" si="0"/>
        <v>2017</v>
      </c>
      <c r="J2" s="79">
        <f>+I2+1</f>
        <v>2018</v>
      </c>
      <c r="K2" s="212">
        <f>+J2+1</f>
        <v>2019</v>
      </c>
      <c r="L2" s="212">
        <v>2019</v>
      </c>
      <c r="M2" s="212">
        <f>+K2+1</f>
        <v>2020</v>
      </c>
      <c r="N2" s="212">
        <f>+M2+1</f>
        <v>2021</v>
      </c>
      <c r="O2" s="212">
        <f>+N2+1</f>
        <v>2022</v>
      </c>
      <c r="P2" s="213">
        <f>+O2+1</f>
        <v>2023</v>
      </c>
      <c r="Q2" s="81">
        <f>+P2+1</f>
        <v>2024</v>
      </c>
      <c r="R2" s="80">
        <f aca="true" t="shared" si="1" ref="R2:AE2">+Q2+1</f>
        <v>2025</v>
      </c>
      <c r="S2" s="80">
        <f t="shared" si="1"/>
        <v>2026</v>
      </c>
      <c r="T2" s="80">
        <f t="shared" si="1"/>
        <v>2027</v>
      </c>
      <c r="U2" s="80">
        <f t="shared" si="1"/>
        <v>2028</v>
      </c>
      <c r="V2" s="80">
        <f>U2+1</f>
        <v>2029</v>
      </c>
      <c r="W2" s="80">
        <f t="shared" si="1"/>
        <v>2030</v>
      </c>
      <c r="X2" s="80">
        <f t="shared" si="1"/>
        <v>2031</v>
      </c>
      <c r="Y2" s="80">
        <f t="shared" si="1"/>
        <v>2032</v>
      </c>
      <c r="Z2" s="80">
        <f t="shared" si="1"/>
        <v>2033</v>
      </c>
      <c r="AA2" s="80">
        <f t="shared" si="1"/>
        <v>2034</v>
      </c>
      <c r="AB2" s="80">
        <f t="shared" si="1"/>
        <v>2035</v>
      </c>
      <c r="AC2" s="80">
        <f t="shared" si="1"/>
        <v>2036</v>
      </c>
      <c r="AD2" s="80">
        <f t="shared" si="1"/>
        <v>2037</v>
      </c>
      <c r="AE2" s="80">
        <f t="shared" si="1"/>
        <v>2038</v>
      </c>
      <c r="AF2" s="83"/>
      <c r="AG2" s="84" t="s">
        <v>118</v>
      </c>
    </row>
    <row r="3" spans="1:32" ht="3" customHeight="1">
      <c r="A3" s="85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</row>
    <row r="4" spans="1:33" ht="20.25">
      <c r="A4" s="214" t="s">
        <v>391</v>
      </c>
      <c r="B4" s="92">
        <v>941459</v>
      </c>
      <c r="C4" s="93">
        <f>B65</f>
        <v>677782.8899999999</v>
      </c>
      <c r="D4" s="93">
        <f aca="true" t="shared" si="2" ref="D4:AE4">C65</f>
        <v>625790.4299999999</v>
      </c>
      <c r="E4" s="93">
        <f>111246+504801</f>
        <v>616047</v>
      </c>
      <c r="F4" s="93">
        <f t="shared" si="2"/>
        <v>736047</v>
      </c>
      <c r="G4" s="93">
        <f t="shared" si="2"/>
        <v>917274</v>
      </c>
      <c r="H4" s="93">
        <f t="shared" si="2"/>
        <v>902691</v>
      </c>
      <c r="I4" s="93">
        <f t="shared" si="2"/>
        <v>1113195</v>
      </c>
      <c r="J4" s="93">
        <f>I65</f>
        <v>-463122</v>
      </c>
      <c r="K4" s="241">
        <f>J65</f>
        <v>536326</v>
      </c>
      <c r="L4" s="241">
        <f>J65</f>
        <v>536326</v>
      </c>
      <c r="M4" s="241">
        <f>K65</f>
        <v>2362818.8600000003</v>
      </c>
      <c r="N4" s="241">
        <f t="shared" si="2"/>
        <v>2121968.8600000003</v>
      </c>
      <c r="O4" s="241">
        <f t="shared" si="2"/>
        <v>1178268.8600000003</v>
      </c>
      <c r="P4" s="242">
        <f t="shared" si="2"/>
        <v>148568.86000000034</v>
      </c>
      <c r="Q4" s="94">
        <f t="shared" si="2"/>
        <v>31568.860000000335</v>
      </c>
      <c r="R4" s="94">
        <f t="shared" si="2"/>
        <v>1052168.8600000003</v>
      </c>
      <c r="S4" s="94">
        <f t="shared" si="2"/>
        <v>1908168.8600000003</v>
      </c>
      <c r="T4" s="94">
        <f t="shared" si="2"/>
        <v>2181368.8600000003</v>
      </c>
      <c r="U4" s="94">
        <f t="shared" si="2"/>
        <v>2424968.8600000003</v>
      </c>
      <c r="V4" s="94">
        <f>U65</f>
        <v>2673468.8600000003</v>
      </c>
      <c r="W4" s="94">
        <f t="shared" si="2"/>
        <v>2926968.8600000003</v>
      </c>
      <c r="X4" s="94">
        <f t="shared" si="2"/>
        <v>3185468.8600000003</v>
      </c>
      <c r="Y4" s="94">
        <f t="shared" si="2"/>
        <v>3344168.8600000003</v>
      </c>
      <c r="Z4" s="94">
        <f t="shared" si="2"/>
        <v>3256068.8600000003</v>
      </c>
      <c r="AA4" s="94">
        <f t="shared" si="2"/>
        <v>3166168.8600000003</v>
      </c>
      <c r="AB4" s="94">
        <f t="shared" si="2"/>
        <v>3074468.8600000003</v>
      </c>
      <c r="AC4" s="94">
        <f t="shared" si="2"/>
        <v>2980968.8600000003</v>
      </c>
      <c r="AD4" s="94">
        <f t="shared" si="2"/>
        <v>2885568.8600000003</v>
      </c>
      <c r="AE4" s="94">
        <f t="shared" si="2"/>
        <v>2788268.8600000003</v>
      </c>
      <c r="AF4" s="95"/>
      <c r="AG4" s="96">
        <f>+B4</f>
        <v>941459</v>
      </c>
    </row>
    <row r="5" spans="1:32" ht="3" customHeight="1">
      <c r="A5" s="97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98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100"/>
    </row>
    <row r="6" spans="1:32" ht="15.75">
      <c r="A6" s="85" t="s">
        <v>119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98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100"/>
    </row>
    <row r="7" spans="1:33" ht="15.75">
      <c r="A7" s="97" t="s">
        <v>120</v>
      </c>
      <c r="B7" s="103">
        <v>64771</v>
      </c>
      <c r="C7" s="103">
        <v>11931.5</v>
      </c>
      <c r="D7" s="103">
        <v>35712</v>
      </c>
      <c r="E7" s="103">
        <v>185144</v>
      </c>
      <c r="F7" s="103">
        <v>228186</v>
      </c>
      <c r="G7" s="103">
        <v>179196</v>
      </c>
      <c r="H7" s="103">
        <v>305881</v>
      </c>
      <c r="I7" s="104">
        <v>141326</v>
      </c>
      <c r="J7" s="103">
        <f>231044+196128</f>
        <v>427172</v>
      </c>
      <c r="K7" s="104">
        <v>622846.35</v>
      </c>
      <c r="L7" s="104">
        <v>486500</v>
      </c>
      <c r="M7" s="104">
        <f>1050000*0.35</f>
        <v>367500</v>
      </c>
      <c r="N7" s="103">
        <f>900000*0.35</f>
        <v>315000</v>
      </c>
      <c r="O7" s="103">
        <f>800000*0.35</f>
        <v>280000</v>
      </c>
      <c r="P7" s="105">
        <f>600000*0.35</f>
        <v>210000</v>
      </c>
      <c r="Q7" s="106">
        <f>500000*0.35</f>
        <v>175000</v>
      </c>
      <c r="R7" s="106">
        <f>400000*0.35</f>
        <v>140000</v>
      </c>
      <c r="S7" s="106">
        <f aca="true" t="shared" si="3" ref="S7">400000*0.35</f>
        <v>140000</v>
      </c>
      <c r="T7" s="106">
        <f>300000*0.35</f>
        <v>105000</v>
      </c>
      <c r="U7" s="106">
        <f>300000*0.35</f>
        <v>105000</v>
      </c>
      <c r="V7" s="106">
        <f aca="true" t="shared" si="4" ref="V7:W7">300000*0.35</f>
        <v>105000</v>
      </c>
      <c r="W7" s="106">
        <f t="shared" si="4"/>
        <v>105000</v>
      </c>
      <c r="X7" s="106">
        <v>0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6">
        <v>0</v>
      </c>
      <c r="AE7" s="106">
        <v>0</v>
      </c>
      <c r="AF7" s="74"/>
      <c r="AG7" s="107">
        <f>SUM(B7:J7)</f>
        <v>1579319.5</v>
      </c>
    </row>
    <row r="8" spans="1:33" ht="15.75">
      <c r="A8" s="97" t="s">
        <v>121</v>
      </c>
      <c r="B8" s="103">
        <v>13827</v>
      </c>
      <c r="C8" s="103">
        <v>15590</v>
      </c>
      <c r="D8" s="103">
        <v>12000</v>
      </c>
      <c r="E8" s="103">
        <v>-7379</v>
      </c>
      <c r="F8" s="103">
        <v>24105</v>
      </c>
      <c r="G8" s="103">
        <f>15904-3027</f>
        <v>12877</v>
      </c>
      <c r="H8" s="103">
        <v>6584</v>
      </c>
      <c r="I8" s="103">
        <v>-715</v>
      </c>
      <c r="J8" s="103">
        <v>1496</v>
      </c>
      <c r="K8" s="103">
        <v>0</v>
      </c>
      <c r="L8" s="103">
        <v>10700</v>
      </c>
      <c r="M8" s="103">
        <f aca="true" t="shared" si="5" ref="M8:Q8">ROUND(M4*0.02,-2)</f>
        <v>47300</v>
      </c>
      <c r="N8" s="103">
        <f t="shared" si="5"/>
        <v>42400</v>
      </c>
      <c r="O8" s="103">
        <f t="shared" si="5"/>
        <v>23600</v>
      </c>
      <c r="P8" s="105">
        <f t="shared" si="5"/>
        <v>3000</v>
      </c>
      <c r="Q8" s="106">
        <f t="shared" si="5"/>
        <v>600</v>
      </c>
      <c r="R8" s="106">
        <f aca="true" t="shared" si="6" ref="R8:AE8">ROUND(R4*0.02,-2)</f>
        <v>21000</v>
      </c>
      <c r="S8" s="106">
        <f t="shared" si="6"/>
        <v>38200</v>
      </c>
      <c r="T8" s="106">
        <f t="shared" si="6"/>
        <v>43600</v>
      </c>
      <c r="U8" s="106">
        <f t="shared" si="6"/>
        <v>48500</v>
      </c>
      <c r="V8" s="106">
        <f t="shared" si="6"/>
        <v>53500</v>
      </c>
      <c r="W8" s="106">
        <f t="shared" si="6"/>
        <v>58500</v>
      </c>
      <c r="X8" s="106">
        <f t="shared" si="6"/>
        <v>63700</v>
      </c>
      <c r="Y8" s="106">
        <f t="shared" si="6"/>
        <v>66900</v>
      </c>
      <c r="Z8" s="106">
        <f t="shared" si="6"/>
        <v>65100</v>
      </c>
      <c r="AA8" s="106">
        <f t="shared" si="6"/>
        <v>63300</v>
      </c>
      <c r="AB8" s="106">
        <f t="shared" si="6"/>
        <v>61500</v>
      </c>
      <c r="AC8" s="106">
        <f t="shared" si="6"/>
        <v>59600</v>
      </c>
      <c r="AD8" s="106">
        <f t="shared" si="6"/>
        <v>57700</v>
      </c>
      <c r="AE8" s="106">
        <f t="shared" si="6"/>
        <v>55800</v>
      </c>
      <c r="AF8" s="74"/>
      <c r="AG8" s="107">
        <f>SUM(B8:J8)</f>
        <v>78385</v>
      </c>
    </row>
    <row r="9" spans="1:32" ht="15.75">
      <c r="A9" s="97" t="s">
        <v>633</v>
      </c>
      <c r="B9" s="104">
        <v>1259</v>
      </c>
      <c r="C9" s="108">
        <v>0</v>
      </c>
      <c r="D9" s="108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773770</v>
      </c>
      <c r="K9" s="104">
        <f>130000+871000</f>
        <v>1001000</v>
      </c>
      <c r="L9" s="104">
        <v>750000</v>
      </c>
      <c r="M9" s="104">
        <v>900000</v>
      </c>
      <c r="N9" s="104">
        <v>250000</v>
      </c>
      <c r="O9" s="104">
        <v>250000</v>
      </c>
      <c r="P9" s="109">
        <v>250000</v>
      </c>
      <c r="Q9" s="110">
        <v>750000</v>
      </c>
      <c r="R9" s="110">
        <v>600000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f>'[3]Wetland Crdts'!S7*75000</f>
        <v>0</v>
      </c>
      <c r="AA9" s="110">
        <f>'[3]Wetland Crdts'!T7*75000</f>
        <v>0</v>
      </c>
      <c r="AB9" s="110">
        <f>'[3]Wetland Crdts'!U7*75000</f>
        <v>0</v>
      </c>
      <c r="AC9" s="110">
        <f>'[3]Wetland Crdts'!V7*75000</f>
        <v>0</v>
      </c>
      <c r="AD9" s="110">
        <f>'[3]Wetland Crdts'!W7*75000</f>
        <v>0</v>
      </c>
      <c r="AE9" s="110">
        <f>'[3]Wetland Crdts'!X7*75000</f>
        <v>0</v>
      </c>
      <c r="AF9" s="111"/>
    </row>
    <row r="10" spans="1:32" ht="15.75" hidden="1">
      <c r="A10" s="97" t="s">
        <v>8</v>
      </c>
      <c r="B10" s="104"/>
      <c r="C10" s="108"/>
      <c r="D10" s="108"/>
      <c r="E10" s="104"/>
      <c r="F10" s="104"/>
      <c r="G10" s="104"/>
      <c r="H10" s="104">
        <v>1225</v>
      </c>
      <c r="I10" s="104"/>
      <c r="J10" s="104"/>
      <c r="K10" s="104"/>
      <c r="L10" s="104"/>
      <c r="M10" s="104"/>
      <c r="N10" s="104"/>
      <c r="O10" s="104"/>
      <c r="P10" s="109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1"/>
    </row>
    <row r="11" spans="1:32" ht="15.75">
      <c r="A11" s="97" t="s">
        <v>640</v>
      </c>
      <c r="B11" s="104"/>
      <c r="C11" s="108"/>
      <c r="D11" s="108"/>
      <c r="E11" s="104"/>
      <c r="F11" s="104"/>
      <c r="G11" s="104"/>
      <c r="H11" s="104"/>
      <c r="I11" s="104"/>
      <c r="J11" s="104"/>
      <c r="K11" s="104"/>
      <c r="L11" s="104"/>
      <c r="M11" s="104">
        <v>250000</v>
      </c>
      <c r="N11" s="104">
        <v>250000</v>
      </c>
      <c r="O11" s="104">
        <v>250000</v>
      </c>
      <c r="P11" s="104">
        <v>250000</v>
      </c>
      <c r="Q11" s="104">
        <v>250000</v>
      </c>
      <c r="R11" s="104">
        <v>250000</v>
      </c>
      <c r="S11" s="104">
        <v>250000</v>
      </c>
      <c r="T11" s="104">
        <v>250000</v>
      </c>
      <c r="U11" s="104">
        <v>250000</v>
      </c>
      <c r="V11" s="104">
        <v>250000</v>
      </c>
      <c r="W11" s="104">
        <v>250000</v>
      </c>
      <c r="X11" s="104">
        <v>250000</v>
      </c>
      <c r="Y11" s="110"/>
      <c r="Z11" s="110"/>
      <c r="AA11" s="110"/>
      <c r="AB11" s="110"/>
      <c r="AC11" s="110"/>
      <c r="AD11" s="110"/>
      <c r="AE11" s="110"/>
      <c r="AF11" s="111"/>
    </row>
    <row r="12" spans="1:32" ht="15.75">
      <c r="A12" s="97" t="s">
        <v>617</v>
      </c>
      <c r="B12" s="104"/>
      <c r="C12" s="108"/>
      <c r="D12" s="108"/>
      <c r="E12" s="104"/>
      <c r="F12" s="104"/>
      <c r="G12" s="104"/>
      <c r="H12" s="104"/>
      <c r="I12" s="36">
        <v>0</v>
      </c>
      <c r="J12" s="104"/>
      <c r="K12" s="104">
        <v>382000</v>
      </c>
      <c r="L12" s="104"/>
      <c r="M12" s="104"/>
      <c r="N12" s="104"/>
      <c r="O12" s="104"/>
      <c r="P12" s="109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1"/>
    </row>
    <row r="13" spans="1:32" ht="4.5" customHeight="1">
      <c r="A13" s="102"/>
      <c r="B13" s="103"/>
      <c r="C13" s="103"/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12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1"/>
    </row>
    <row r="14" spans="1:32" ht="3" customHeight="1">
      <c r="A14" s="102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5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11"/>
    </row>
    <row r="15" spans="1:33" ht="15.75">
      <c r="A15" s="216" t="s">
        <v>127</v>
      </c>
      <c r="B15" s="114">
        <f aca="true" t="shared" si="7" ref="B15:AE15">SUM(B7:B14)</f>
        <v>79857</v>
      </c>
      <c r="C15" s="114">
        <f t="shared" si="7"/>
        <v>27521.5</v>
      </c>
      <c r="D15" s="114">
        <f t="shared" si="7"/>
        <v>47712</v>
      </c>
      <c r="E15" s="114">
        <f t="shared" si="7"/>
        <v>177765</v>
      </c>
      <c r="F15" s="114">
        <f t="shared" si="7"/>
        <v>252291</v>
      </c>
      <c r="G15" s="114">
        <f t="shared" si="7"/>
        <v>192073</v>
      </c>
      <c r="H15" s="114">
        <f t="shared" si="7"/>
        <v>313690</v>
      </c>
      <c r="I15" s="114">
        <f t="shared" si="7"/>
        <v>140611</v>
      </c>
      <c r="J15" s="114">
        <f t="shared" si="7"/>
        <v>1202438</v>
      </c>
      <c r="K15" s="221">
        <f t="shared" si="7"/>
        <v>2005846.35</v>
      </c>
      <c r="L15" s="221">
        <f t="shared" si="7"/>
        <v>1247200</v>
      </c>
      <c r="M15" s="221">
        <f t="shared" si="7"/>
        <v>1564800</v>
      </c>
      <c r="N15" s="221">
        <f t="shared" si="7"/>
        <v>857400</v>
      </c>
      <c r="O15" s="221">
        <f t="shared" si="7"/>
        <v>803600</v>
      </c>
      <c r="P15" s="222">
        <f t="shared" si="7"/>
        <v>713000</v>
      </c>
      <c r="Q15" s="114">
        <f t="shared" si="7"/>
        <v>1175600</v>
      </c>
      <c r="R15" s="114">
        <f t="shared" si="7"/>
        <v>1011000</v>
      </c>
      <c r="S15" s="114">
        <f t="shared" si="7"/>
        <v>428200</v>
      </c>
      <c r="T15" s="114">
        <f t="shared" si="7"/>
        <v>398600</v>
      </c>
      <c r="U15" s="114">
        <f t="shared" si="7"/>
        <v>403500</v>
      </c>
      <c r="V15" s="114">
        <f t="shared" si="7"/>
        <v>408500</v>
      </c>
      <c r="W15" s="114">
        <f t="shared" si="7"/>
        <v>413500</v>
      </c>
      <c r="X15" s="114">
        <f t="shared" si="7"/>
        <v>313700</v>
      </c>
      <c r="Y15" s="114">
        <f t="shared" si="7"/>
        <v>66900</v>
      </c>
      <c r="Z15" s="114">
        <f t="shared" si="7"/>
        <v>65100</v>
      </c>
      <c r="AA15" s="114">
        <f t="shared" si="7"/>
        <v>63300</v>
      </c>
      <c r="AB15" s="114">
        <f t="shared" si="7"/>
        <v>61500</v>
      </c>
      <c r="AC15" s="114">
        <f t="shared" si="7"/>
        <v>59600</v>
      </c>
      <c r="AD15" s="114">
        <f t="shared" si="7"/>
        <v>57700</v>
      </c>
      <c r="AE15" s="114">
        <f t="shared" si="7"/>
        <v>55800</v>
      </c>
      <c r="AF15" s="115"/>
      <c r="AG15" s="116">
        <f>SUM(AG7:AG14)</f>
        <v>1657704.5</v>
      </c>
    </row>
    <row r="16" spans="1:32" ht="3" customHeigh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5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11"/>
    </row>
    <row r="17" spans="1:32" ht="15.75">
      <c r="A17" s="85" t="s">
        <v>392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5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11"/>
    </row>
    <row r="18" spans="1:32" ht="15.75" hidden="1">
      <c r="A18" s="101"/>
      <c r="B18" s="103">
        <v>1779.83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5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11"/>
    </row>
    <row r="19" spans="1:32" ht="15.75" hidden="1">
      <c r="A19" s="101"/>
      <c r="B19" s="103">
        <f>271035.9+213.75</f>
        <v>271249.65</v>
      </c>
      <c r="C19" s="103">
        <v>3921</v>
      </c>
      <c r="D19" s="103"/>
      <c r="E19" s="103"/>
      <c r="F19" s="103">
        <v>4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5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11"/>
    </row>
    <row r="20" spans="1:34" ht="15.75" hidden="1">
      <c r="A20" s="101"/>
      <c r="B20" s="103">
        <v>1796.25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5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11"/>
      <c r="AH20" s="82">
        <f>43560*1.4</f>
        <v>60983.99999999999</v>
      </c>
    </row>
    <row r="21" spans="1:59" ht="15.75" hidden="1">
      <c r="A21" s="102"/>
      <c r="B21" s="103">
        <f>781.56+175.22</f>
        <v>956.78</v>
      </c>
      <c r="C21" s="103">
        <v>33157.96</v>
      </c>
      <c r="D21" s="103"/>
      <c r="E21" s="103">
        <v>139</v>
      </c>
      <c r="F21" s="103"/>
      <c r="G21" s="103"/>
      <c r="H21" s="103"/>
      <c r="I21" s="117"/>
      <c r="J21" s="117"/>
      <c r="K21" s="117"/>
      <c r="L21" s="117"/>
      <c r="M21" s="117"/>
      <c r="N21" s="117"/>
      <c r="O21" s="117"/>
      <c r="P21" s="118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20"/>
      <c r="AG21" s="107"/>
      <c r="AH21" s="121">
        <f>+AH20*14</f>
        <v>853775.9999999999</v>
      </c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</row>
    <row r="22" spans="1:59" ht="15.75" hidden="1">
      <c r="A22" s="102"/>
      <c r="B22" s="103">
        <v>541.4</v>
      </c>
      <c r="C22" s="103"/>
      <c r="D22" s="103"/>
      <c r="E22" s="103"/>
      <c r="F22" s="103">
        <v>4892</v>
      </c>
      <c r="G22" s="103"/>
      <c r="H22" s="103"/>
      <c r="I22" s="117"/>
      <c r="J22" s="117"/>
      <c r="K22" s="117"/>
      <c r="L22" s="117"/>
      <c r="M22" s="117"/>
      <c r="N22" s="117"/>
      <c r="O22" s="117"/>
      <c r="P22" s="118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20"/>
      <c r="AG22" s="107">
        <f>SUM(B22:J22)</f>
        <v>5433.4</v>
      </c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</row>
    <row r="23" spans="1:59" ht="15.75" hidden="1">
      <c r="A23" s="102"/>
      <c r="B23" s="103"/>
      <c r="C23" s="103"/>
      <c r="D23" s="103"/>
      <c r="E23" s="103"/>
      <c r="F23" s="103"/>
      <c r="G23" s="103"/>
      <c r="H23" s="103">
        <v>710</v>
      </c>
      <c r="I23" s="117"/>
      <c r="J23" s="117"/>
      <c r="K23" s="117"/>
      <c r="L23" s="117"/>
      <c r="M23" s="117"/>
      <c r="N23" s="117"/>
      <c r="O23" s="117"/>
      <c r="P23" s="118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  <c r="AG23" s="107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</row>
    <row r="24" spans="1:32" ht="15.75" hidden="1">
      <c r="A24" s="102"/>
      <c r="B24" s="103">
        <f>8251+45328.3</f>
        <v>53579.3</v>
      </c>
      <c r="C24" s="103"/>
      <c r="D24" s="103">
        <v>68031</v>
      </c>
      <c r="E24" s="103">
        <f>3726+24053</f>
        <v>27779</v>
      </c>
      <c r="F24" s="103">
        <f>959+4499+3805+1192</f>
        <v>10455</v>
      </c>
      <c r="G24" s="103">
        <f>19</f>
        <v>19</v>
      </c>
      <c r="H24" s="104"/>
      <c r="I24" s="104"/>
      <c r="J24" s="104"/>
      <c r="K24" s="104"/>
      <c r="L24" s="104"/>
      <c r="M24" s="104"/>
      <c r="N24" s="104"/>
      <c r="O24" s="104"/>
      <c r="P24" s="109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74"/>
    </row>
    <row r="25" spans="1:32" ht="15.75" hidden="1">
      <c r="A25" s="102"/>
      <c r="B25" s="103"/>
      <c r="C25" s="103"/>
      <c r="D25" s="103"/>
      <c r="E25" s="103"/>
      <c r="F25" s="103"/>
      <c r="G25" s="103"/>
      <c r="H25" s="104"/>
      <c r="I25" s="104"/>
      <c r="J25" s="104"/>
      <c r="K25" s="104"/>
      <c r="L25" s="104"/>
      <c r="M25" s="104"/>
      <c r="N25" s="104"/>
      <c r="O25" s="104"/>
      <c r="P25" s="109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74"/>
    </row>
    <row r="26" spans="1:32" ht="15.75" hidden="1">
      <c r="A26" s="102"/>
      <c r="B26" s="104">
        <v>13629.9</v>
      </c>
      <c r="C26" s="104">
        <v>42435</v>
      </c>
      <c r="D26" s="104"/>
      <c r="E26" s="104">
        <v>29847</v>
      </c>
      <c r="F26" s="104">
        <v>4150</v>
      </c>
      <c r="G26" s="104"/>
      <c r="H26" s="104"/>
      <c r="I26" s="104">
        <f>25000-25000</f>
        <v>0</v>
      </c>
      <c r="J26" s="104">
        <v>25550</v>
      </c>
      <c r="K26" s="104"/>
      <c r="L26" s="104"/>
      <c r="M26" s="104"/>
      <c r="N26" s="104"/>
      <c r="O26" s="104"/>
      <c r="P26" s="109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74"/>
    </row>
    <row r="27" spans="1:33" ht="15.75" hidden="1">
      <c r="A27" s="102"/>
      <c r="B27" s="104"/>
      <c r="C27" s="104"/>
      <c r="D27" s="104"/>
      <c r="E27" s="104"/>
      <c r="F27" s="104"/>
      <c r="G27" s="104">
        <v>95000</v>
      </c>
      <c r="H27" s="104"/>
      <c r="I27" s="104"/>
      <c r="J27" s="104"/>
      <c r="K27" s="104"/>
      <c r="L27" s="104"/>
      <c r="M27" s="104"/>
      <c r="N27" s="104"/>
      <c r="O27" s="104"/>
      <c r="P27" s="109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74"/>
      <c r="AG27" s="107">
        <f>SUM(B27:J27)</f>
        <v>95000</v>
      </c>
    </row>
    <row r="28" spans="1:33" ht="15.75" hidden="1">
      <c r="A28" s="102"/>
      <c r="B28" s="104"/>
      <c r="C28" s="104"/>
      <c r="D28" s="104"/>
      <c r="E28" s="104"/>
      <c r="F28" s="104"/>
      <c r="G28" s="104"/>
      <c r="H28" s="104"/>
      <c r="I28" s="104">
        <v>519</v>
      </c>
      <c r="J28" s="104"/>
      <c r="K28" s="104"/>
      <c r="L28" s="104"/>
      <c r="M28" s="104"/>
      <c r="N28" s="104"/>
      <c r="O28" s="104"/>
      <c r="P28" s="109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74"/>
      <c r="AG28" s="107"/>
    </row>
    <row r="29" spans="1:33" ht="15.75" hidden="1">
      <c r="A29" s="102"/>
      <c r="B29" s="104"/>
      <c r="C29" s="104"/>
      <c r="D29" s="104"/>
      <c r="E29" s="104"/>
      <c r="F29" s="104"/>
      <c r="G29" s="104"/>
      <c r="H29" s="104"/>
      <c r="I29" s="104">
        <f>832+253</f>
        <v>1085</v>
      </c>
      <c r="J29" s="104"/>
      <c r="K29" s="104"/>
      <c r="L29" s="104"/>
      <c r="M29" s="104"/>
      <c r="N29" s="104"/>
      <c r="O29" s="104"/>
      <c r="P29" s="109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74"/>
      <c r="AG29" s="107"/>
    </row>
    <row r="30" spans="1:33" ht="15.75" hidden="1">
      <c r="A30" s="102"/>
      <c r="B30" s="104"/>
      <c r="C30" s="104"/>
      <c r="D30" s="104"/>
      <c r="E30" s="104"/>
      <c r="F30" s="104">
        <f>1177</f>
        <v>1177</v>
      </c>
      <c r="G30" s="104"/>
      <c r="H30" s="104">
        <v>1950</v>
      </c>
      <c r="I30" s="104">
        <f>1500-1500</f>
        <v>0</v>
      </c>
      <c r="J30" s="104"/>
      <c r="K30" s="104"/>
      <c r="L30" s="104"/>
      <c r="M30" s="104"/>
      <c r="N30" s="104"/>
      <c r="O30" s="104"/>
      <c r="P30" s="109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74"/>
      <c r="AG30" s="107"/>
    </row>
    <row r="31" spans="1:33" ht="15.75" hidden="1">
      <c r="A31" s="102"/>
      <c r="B31" s="104"/>
      <c r="C31" s="104"/>
      <c r="D31" s="104"/>
      <c r="E31" s="104"/>
      <c r="F31" s="104"/>
      <c r="G31" s="104"/>
      <c r="H31" s="104">
        <v>2100</v>
      </c>
      <c r="I31" s="104"/>
      <c r="J31" s="104"/>
      <c r="K31" s="104"/>
      <c r="L31" s="104"/>
      <c r="M31" s="104"/>
      <c r="N31" s="104"/>
      <c r="O31" s="104"/>
      <c r="P31" s="109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74"/>
      <c r="AG31" s="107"/>
    </row>
    <row r="32" spans="1:33" ht="15.75" hidden="1">
      <c r="A32" s="102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9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74"/>
      <c r="AG32" s="107"/>
    </row>
    <row r="33" spans="1:33" ht="15.75" hidden="1">
      <c r="A33" s="102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9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74"/>
      <c r="AG33" s="107"/>
    </row>
    <row r="34" spans="1:33" ht="15.75" hidden="1">
      <c r="A34" s="102"/>
      <c r="B34" s="104"/>
      <c r="C34" s="104"/>
      <c r="D34" s="104"/>
      <c r="E34" s="104"/>
      <c r="F34" s="104"/>
      <c r="G34" s="104"/>
      <c r="H34" s="104">
        <v>1275</v>
      </c>
      <c r="I34" s="104">
        <f>1500-1500</f>
        <v>0</v>
      </c>
      <c r="J34" s="104"/>
      <c r="K34" s="104"/>
      <c r="L34" s="104"/>
      <c r="M34" s="104"/>
      <c r="N34" s="104"/>
      <c r="O34" s="104"/>
      <c r="P34" s="109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74"/>
      <c r="AG34" s="107"/>
    </row>
    <row r="35" spans="1:33" ht="15.75" hidden="1">
      <c r="A35" s="102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9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74"/>
      <c r="AG35" s="107">
        <f>SUM(B35:J35)</f>
        <v>0</v>
      </c>
    </row>
    <row r="36" spans="1:33" ht="15.75">
      <c r="A36" s="102" t="s">
        <v>630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9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74"/>
      <c r="AG36" s="107"/>
    </row>
    <row r="37" spans="1:33" ht="15.75">
      <c r="A37" s="215" t="s">
        <v>629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9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74"/>
      <c r="AG37" s="107"/>
    </row>
    <row r="38" spans="1:33" ht="15.75">
      <c r="A38" s="215" t="s">
        <v>641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>
        <v>100000</v>
      </c>
      <c r="N38" s="104">
        <v>100000</v>
      </c>
      <c r="O38" s="104">
        <v>100000</v>
      </c>
      <c r="P38" s="104">
        <v>100000</v>
      </c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74"/>
      <c r="AG38" s="107"/>
    </row>
    <row r="39" spans="1:33" ht="15.75">
      <c r="A39" s="440" t="s">
        <v>631</v>
      </c>
      <c r="B39" s="104"/>
      <c r="C39" s="104"/>
      <c r="D39" s="104"/>
      <c r="E39" s="104"/>
      <c r="F39" s="104">
        <f>22291+28095</f>
        <v>50386</v>
      </c>
      <c r="G39" s="104">
        <f>75796+28997</f>
        <v>104793</v>
      </c>
      <c r="H39" s="104">
        <f>62188+7319+18238</f>
        <v>87745</v>
      </c>
      <c r="I39" s="104">
        <f>38986+303643</f>
        <v>342629</v>
      </c>
      <c r="J39" s="104">
        <f>129000+10247</f>
        <v>139247</v>
      </c>
      <c r="K39" s="104">
        <v>112303.32</v>
      </c>
      <c r="L39" s="104">
        <v>136160</v>
      </c>
      <c r="M39" s="104">
        <f>116150+159500</f>
        <v>275650</v>
      </c>
      <c r="N39" s="104">
        <v>66100</v>
      </c>
      <c r="O39" s="104">
        <v>78300</v>
      </c>
      <c r="P39" s="109">
        <v>75000</v>
      </c>
      <c r="Q39" s="110">
        <v>75000</v>
      </c>
      <c r="R39" s="110">
        <v>75000</v>
      </c>
      <c r="S39" s="110">
        <v>75000</v>
      </c>
      <c r="T39" s="110">
        <v>75000</v>
      </c>
      <c r="U39" s="110">
        <v>75000</v>
      </c>
      <c r="V39" s="110">
        <v>75000</v>
      </c>
      <c r="W39" s="110">
        <v>75000</v>
      </c>
      <c r="X39" s="110">
        <v>75000</v>
      </c>
      <c r="Y39" s="110">
        <v>75000</v>
      </c>
      <c r="Z39" s="110">
        <v>75000</v>
      </c>
      <c r="AA39" s="110">
        <v>75000</v>
      </c>
      <c r="AB39" s="110">
        <v>75000</v>
      </c>
      <c r="AC39" s="110">
        <v>75000</v>
      </c>
      <c r="AD39" s="110">
        <v>75000</v>
      </c>
      <c r="AE39" s="110">
        <v>75000</v>
      </c>
      <c r="AF39" s="74"/>
      <c r="AG39" s="107"/>
    </row>
    <row r="40" spans="1:33" ht="15.75">
      <c r="A40" s="440" t="s">
        <v>634</v>
      </c>
      <c r="B40" s="104"/>
      <c r="C40" s="104"/>
      <c r="D40" s="104"/>
      <c r="E40" s="104"/>
      <c r="F40" s="104"/>
      <c r="G40" s="104"/>
      <c r="H40" s="104"/>
      <c r="I40" s="104">
        <v>8060</v>
      </c>
      <c r="J40" s="104">
        <v>24757</v>
      </c>
      <c r="K40" s="104"/>
      <c r="L40" s="104"/>
      <c r="M40" s="104"/>
      <c r="N40" s="104"/>
      <c r="O40" s="104"/>
      <c r="P40" s="109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74"/>
      <c r="AG40" s="107"/>
    </row>
    <row r="41" spans="1:33" ht="15.75">
      <c r="A41" s="440" t="s">
        <v>635</v>
      </c>
      <c r="B41" s="104"/>
      <c r="C41" s="104"/>
      <c r="D41" s="104"/>
      <c r="E41" s="104"/>
      <c r="F41" s="104"/>
      <c r="G41" s="104"/>
      <c r="H41" s="104">
        <v>9406</v>
      </c>
      <c r="I41" s="104"/>
      <c r="J41" s="104"/>
      <c r="K41" s="104">
        <f>17050.17+50000</f>
        <v>67050.17</v>
      </c>
      <c r="L41" s="104">
        <v>120000</v>
      </c>
      <c r="M41" s="104">
        <v>1140000</v>
      </c>
      <c r="N41" s="104">
        <v>1500000</v>
      </c>
      <c r="O41" s="104">
        <v>1000000</v>
      </c>
      <c r="P41" s="109">
        <v>500000</v>
      </c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74"/>
      <c r="AG41" s="107"/>
    </row>
    <row r="42" spans="1:33" ht="15.75">
      <c r="A42" s="215" t="s">
        <v>636</v>
      </c>
      <c r="B42" s="104"/>
      <c r="C42" s="104"/>
      <c r="D42" s="104"/>
      <c r="E42" s="104"/>
      <c r="F42" s="104"/>
      <c r="G42" s="104"/>
      <c r="H42" s="104"/>
      <c r="I42" s="104">
        <f>68248+287793+390818+228595+52459</f>
        <v>1027913</v>
      </c>
      <c r="J42" s="104"/>
      <c r="K42" s="104"/>
      <c r="L42" s="104"/>
      <c r="M42" s="104"/>
      <c r="N42" s="104"/>
      <c r="O42" s="104"/>
      <c r="P42" s="109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74"/>
      <c r="AG42" s="107"/>
    </row>
    <row r="43" spans="1:33" ht="15.75">
      <c r="A43" s="215" t="s">
        <v>637</v>
      </c>
      <c r="B43" s="104"/>
      <c r="C43" s="104"/>
      <c r="D43" s="104"/>
      <c r="E43" s="104"/>
      <c r="F43" s="104"/>
      <c r="G43" s="104"/>
      <c r="H43" s="104"/>
      <c r="I43" s="104">
        <f>55468+114282+86423+35465+2049+13300</f>
        <v>306987</v>
      </c>
      <c r="J43" s="104"/>
      <c r="K43" s="104"/>
      <c r="L43" s="104"/>
      <c r="M43" s="104"/>
      <c r="N43" s="104"/>
      <c r="O43" s="104"/>
      <c r="P43" s="109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74"/>
      <c r="AG43" s="107"/>
    </row>
    <row r="44" spans="1:33" ht="15.75">
      <c r="A44" s="215" t="s">
        <v>638</v>
      </c>
      <c r="B44" s="104"/>
      <c r="C44" s="104"/>
      <c r="D44" s="104"/>
      <c r="E44" s="104"/>
      <c r="F44" s="104"/>
      <c r="G44" s="104"/>
      <c r="H44" s="104"/>
      <c r="I44" s="104">
        <f>18344+3612</f>
        <v>21956</v>
      </c>
      <c r="J44" s="104"/>
      <c r="K44" s="104"/>
      <c r="L44" s="104"/>
      <c r="M44" s="104"/>
      <c r="N44" s="104"/>
      <c r="O44" s="104"/>
      <c r="P44" s="109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74"/>
      <c r="AG44" s="107"/>
    </row>
    <row r="45" spans="1:33" ht="15.75">
      <c r="A45" s="215" t="s">
        <v>639</v>
      </c>
      <c r="B45" s="104"/>
      <c r="C45" s="104"/>
      <c r="D45" s="104"/>
      <c r="E45" s="104"/>
      <c r="F45" s="104"/>
      <c r="G45" s="104"/>
      <c r="H45" s="104"/>
      <c r="I45" s="104">
        <f>807+352+260</f>
        <v>1419</v>
      </c>
      <c r="J45" s="104"/>
      <c r="K45" s="104"/>
      <c r="L45" s="104"/>
      <c r="M45" s="104"/>
      <c r="N45" s="104"/>
      <c r="O45" s="104"/>
      <c r="P45" s="109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74"/>
      <c r="AG45" s="107"/>
    </row>
    <row r="46" spans="1:33" ht="17.45" customHeight="1">
      <c r="A46" s="215" t="s">
        <v>168</v>
      </c>
      <c r="B46" s="104"/>
      <c r="C46" s="104"/>
      <c r="D46" s="104"/>
      <c r="E46" s="104"/>
      <c r="F46" s="104"/>
      <c r="G46" s="104"/>
      <c r="H46" s="104"/>
      <c r="I46" s="104">
        <f>453+132+520+745</f>
        <v>1850</v>
      </c>
      <c r="J46" s="104">
        <v>13436</v>
      </c>
      <c r="K46" s="104"/>
      <c r="L46" s="104"/>
      <c r="M46" s="104"/>
      <c r="N46" s="104"/>
      <c r="O46" s="104"/>
      <c r="P46" s="109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74"/>
      <c r="AG46" s="107"/>
    </row>
    <row r="47" spans="1:33" ht="15.75">
      <c r="A47" s="215" t="s">
        <v>616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>
        <v>20000</v>
      </c>
      <c r="N47" s="104"/>
      <c r="O47" s="104"/>
      <c r="P47" s="109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74"/>
      <c r="AG47" s="107"/>
    </row>
    <row r="48" spans="1:33" ht="15.75">
      <c r="A48" s="215" t="s">
        <v>632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>
        <v>50000</v>
      </c>
      <c r="N48" s="104">
        <v>50000</v>
      </c>
      <c r="O48" s="104">
        <v>50000</v>
      </c>
      <c r="P48" s="104">
        <v>50000</v>
      </c>
      <c r="Q48" s="104">
        <v>50000</v>
      </c>
      <c r="R48" s="104">
        <v>50000</v>
      </c>
      <c r="S48" s="104">
        <v>50000</v>
      </c>
      <c r="T48" s="104">
        <v>50000</v>
      </c>
      <c r="U48" s="104">
        <v>50000</v>
      </c>
      <c r="V48" s="104">
        <v>50000</v>
      </c>
      <c r="W48" s="104">
        <v>50000</v>
      </c>
      <c r="X48" s="104">
        <v>50000</v>
      </c>
      <c r="Y48" s="104">
        <v>50000</v>
      </c>
      <c r="Z48" s="104">
        <v>50000</v>
      </c>
      <c r="AA48" s="104">
        <v>50000</v>
      </c>
      <c r="AB48" s="104">
        <v>50000</v>
      </c>
      <c r="AC48" s="104">
        <v>50000</v>
      </c>
      <c r="AD48" s="104">
        <v>50000</v>
      </c>
      <c r="AE48" s="104">
        <v>50000</v>
      </c>
      <c r="AF48" s="74"/>
      <c r="AG48" s="107"/>
    </row>
    <row r="49" spans="1:33" ht="15.75">
      <c r="A49" s="225" t="s">
        <v>173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9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74"/>
      <c r="AG49" s="107"/>
    </row>
    <row r="50" spans="1:33" ht="15.75">
      <c r="A50" s="225" t="s">
        <v>615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>
        <v>25000</v>
      </c>
      <c r="M50" s="104">
        <v>100000</v>
      </c>
      <c r="N50" s="104">
        <v>80000</v>
      </c>
      <c r="O50" s="104">
        <v>300000</v>
      </c>
      <c r="P50" s="109">
        <v>100000</v>
      </c>
      <c r="Q50" s="110">
        <v>25000</v>
      </c>
      <c r="R50" s="110">
        <v>25000</v>
      </c>
      <c r="S50" s="110">
        <v>25000</v>
      </c>
      <c r="T50" s="110">
        <v>25000</v>
      </c>
      <c r="U50" s="110">
        <v>25000</v>
      </c>
      <c r="V50" s="110">
        <v>25000</v>
      </c>
      <c r="W50" s="110">
        <v>25000</v>
      </c>
      <c r="X50" s="110">
        <v>25000</v>
      </c>
      <c r="Y50" s="110">
        <v>25000</v>
      </c>
      <c r="Z50" s="110">
        <v>25000</v>
      </c>
      <c r="AA50" s="110">
        <v>25000</v>
      </c>
      <c r="AB50" s="110">
        <v>25000</v>
      </c>
      <c r="AC50" s="110">
        <v>25000</v>
      </c>
      <c r="AD50" s="110">
        <v>25000</v>
      </c>
      <c r="AE50" s="110">
        <v>25000</v>
      </c>
      <c r="AF50" s="74"/>
      <c r="AG50" s="107"/>
    </row>
    <row r="51" spans="1:33" ht="15.75">
      <c r="A51" s="225" t="s">
        <v>618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9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74"/>
      <c r="AG51" s="107"/>
    </row>
    <row r="52" spans="1:33" ht="15.75">
      <c r="A52" s="215" t="s">
        <v>619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>
        <v>300000</v>
      </c>
      <c r="P52" s="109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74"/>
      <c r="AG52" s="107"/>
    </row>
    <row r="53" spans="1:33" ht="15.75">
      <c r="A53" s="215" t="s">
        <v>620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>
        <v>75000</v>
      </c>
      <c r="N53" s="104"/>
      <c r="O53" s="104"/>
      <c r="P53" s="109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74"/>
      <c r="AG53" s="107"/>
    </row>
    <row r="54" spans="1:33" ht="15.75">
      <c r="A54" s="215" t="s">
        <v>621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>
        <v>40000</v>
      </c>
      <c r="N54" s="104"/>
      <c r="O54" s="104"/>
      <c r="P54" s="109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74"/>
      <c r="AG54" s="107"/>
    </row>
    <row r="55" spans="1:33" ht="15.75">
      <c r="A55" s="225" t="s">
        <v>169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>
        <v>0</v>
      </c>
      <c r="L55" s="104">
        <v>5000</v>
      </c>
      <c r="M55" s="104">
        <v>5000</v>
      </c>
      <c r="N55" s="104">
        <v>5000</v>
      </c>
      <c r="O55" s="104">
        <v>5000</v>
      </c>
      <c r="P55" s="104">
        <v>5000</v>
      </c>
      <c r="Q55" s="104">
        <v>5000</v>
      </c>
      <c r="R55" s="104">
        <v>5000</v>
      </c>
      <c r="S55" s="104">
        <v>5000</v>
      </c>
      <c r="T55" s="104">
        <v>5000</v>
      </c>
      <c r="U55" s="104">
        <v>5000</v>
      </c>
      <c r="V55" s="104">
        <v>5000</v>
      </c>
      <c r="W55" s="104">
        <v>5000</v>
      </c>
      <c r="X55" s="104">
        <v>5000</v>
      </c>
      <c r="Y55" s="104">
        <v>5000</v>
      </c>
      <c r="Z55" s="104">
        <v>5000</v>
      </c>
      <c r="AA55" s="104">
        <v>5000</v>
      </c>
      <c r="AB55" s="104">
        <v>5000</v>
      </c>
      <c r="AC55" s="104">
        <v>5000</v>
      </c>
      <c r="AD55" s="104">
        <v>5000</v>
      </c>
      <c r="AE55" s="104">
        <v>5000</v>
      </c>
      <c r="AF55" s="74"/>
      <c r="AG55" s="107"/>
    </row>
    <row r="56" spans="1:33" ht="15.75" hidden="1">
      <c r="A56" s="225" t="s">
        <v>170</v>
      </c>
      <c r="B56" s="104"/>
      <c r="C56" s="104"/>
      <c r="D56" s="104"/>
      <c r="E56" s="104"/>
      <c r="F56" s="104"/>
      <c r="G56" s="104">
        <f>5386+518+940</f>
        <v>6844</v>
      </c>
      <c r="H56" s="104"/>
      <c r="I56" s="104"/>
      <c r="J56" s="104"/>
      <c r="K56" s="104"/>
      <c r="L56" s="104"/>
      <c r="M56" s="104"/>
      <c r="N56" s="104"/>
      <c r="O56" s="104"/>
      <c r="P56" s="109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74"/>
      <c r="AG56" s="107"/>
    </row>
    <row r="57" spans="1:33" ht="15.75">
      <c r="A57" s="225" t="s">
        <v>171</v>
      </c>
      <c r="B57" s="104"/>
      <c r="C57" s="104"/>
      <c r="D57" s="104"/>
      <c r="E57" s="104"/>
      <c r="F57" s="104"/>
      <c r="G57" s="104"/>
      <c r="H57" s="104"/>
      <c r="I57" s="104">
        <f>1800+1900+660+150</f>
        <v>4510</v>
      </c>
      <c r="J57" s="104"/>
      <c r="K57" s="104"/>
      <c r="L57" s="104"/>
      <c r="M57" s="104"/>
      <c r="N57" s="104"/>
      <c r="O57" s="104"/>
      <c r="P57" s="109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74"/>
      <c r="AG57" s="107"/>
    </row>
    <row r="58" spans="1:33" ht="15.75" hidden="1">
      <c r="A58" s="225" t="s">
        <v>172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9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74"/>
      <c r="AG58" s="107"/>
    </row>
    <row r="59" spans="2:33" ht="15.7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74"/>
      <c r="AG59" s="107"/>
    </row>
    <row r="60" spans="1:32" ht="4.5" customHeight="1">
      <c r="A60" s="215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9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74"/>
    </row>
    <row r="61" spans="1:33" ht="15.75">
      <c r="A61" s="216" t="s">
        <v>329</v>
      </c>
      <c r="B61" s="122">
        <f>SUM(B18:B60)</f>
        <v>343533.1100000001</v>
      </c>
      <c r="C61" s="122">
        <f>SUM(C17:C60)</f>
        <v>79513.95999999999</v>
      </c>
      <c r="D61" s="122">
        <f>SUM(D21:D60)</f>
        <v>68031</v>
      </c>
      <c r="E61" s="122">
        <f>SUM(E21:E60)</f>
        <v>57765</v>
      </c>
      <c r="F61" s="122">
        <f aca="true" t="shared" si="8" ref="F61:M61">SUM(F17:F60)</f>
        <v>71064</v>
      </c>
      <c r="G61" s="122">
        <f t="shared" si="8"/>
        <v>206656</v>
      </c>
      <c r="H61" s="122">
        <f t="shared" si="8"/>
        <v>103186</v>
      </c>
      <c r="I61" s="122">
        <f t="shared" si="8"/>
        <v>1716928</v>
      </c>
      <c r="J61" s="122">
        <f t="shared" si="8"/>
        <v>202990</v>
      </c>
      <c r="K61" s="104">
        <f t="shared" si="8"/>
        <v>179353.49</v>
      </c>
      <c r="L61" s="104">
        <f t="shared" si="8"/>
        <v>286160</v>
      </c>
      <c r="M61" s="104">
        <f t="shared" si="8"/>
        <v>1805650</v>
      </c>
      <c r="N61" s="104">
        <f aca="true" t="shared" si="9" ref="N61:AE61">SUM(N21:N60)</f>
        <v>1801100</v>
      </c>
      <c r="O61" s="104">
        <f t="shared" si="9"/>
        <v>1833300</v>
      </c>
      <c r="P61" s="109">
        <f t="shared" si="9"/>
        <v>830000</v>
      </c>
      <c r="Q61" s="122">
        <f t="shared" si="9"/>
        <v>155000</v>
      </c>
      <c r="R61" s="122">
        <f t="shared" si="9"/>
        <v>155000</v>
      </c>
      <c r="S61" s="122">
        <f t="shared" si="9"/>
        <v>155000</v>
      </c>
      <c r="T61" s="122">
        <f t="shared" si="9"/>
        <v>155000</v>
      </c>
      <c r="U61" s="122">
        <f t="shared" si="9"/>
        <v>155000</v>
      </c>
      <c r="V61" s="122">
        <f t="shared" si="9"/>
        <v>155000</v>
      </c>
      <c r="W61" s="122">
        <f t="shared" si="9"/>
        <v>155000</v>
      </c>
      <c r="X61" s="122">
        <f t="shared" si="9"/>
        <v>155000</v>
      </c>
      <c r="Y61" s="122">
        <f t="shared" si="9"/>
        <v>155000</v>
      </c>
      <c r="Z61" s="122">
        <f t="shared" si="9"/>
        <v>155000</v>
      </c>
      <c r="AA61" s="122">
        <f t="shared" si="9"/>
        <v>155000</v>
      </c>
      <c r="AB61" s="122">
        <f t="shared" si="9"/>
        <v>155000</v>
      </c>
      <c r="AC61" s="122">
        <f t="shared" si="9"/>
        <v>155000</v>
      </c>
      <c r="AD61" s="122">
        <f t="shared" si="9"/>
        <v>155000</v>
      </c>
      <c r="AE61" s="122">
        <f t="shared" si="9"/>
        <v>155000</v>
      </c>
      <c r="AF61" s="75"/>
      <c r="AG61" s="123">
        <f>SUM(AG21:AG60)</f>
        <v>100433.4</v>
      </c>
    </row>
    <row r="62" spans="1:33" ht="6" customHeight="1">
      <c r="A62" s="215"/>
      <c r="B62" s="124"/>
      <c r="C62" s="124"/>
      <c r="D62" s="124"/>
      <c r="E62" s="124"/>
      <c r="F62" s="124"/>
      <c r="G62" s="124"/>
      <c r="H62" s="124"/>
      <c r="I62" s="124"/>
      <c r="J62" s="124"/>
      <c r="K62" s="104"/>
      <c r="L62" s="104"/>
      <c r="M62" s="104"/>
      <c r="N62" s="104"/>
      <c r="O62" s="104"/>
      <c r="P62" s="109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76"/>
      <c r="AG62" s="123"/>
    </row>
    <row r="63" spans="1:33" ht="20.25">
      <c r="A63" s="216" t="s">
        <v>166</v>
      </c>
      <c r="B63" s="125">
        <f aca="true" t="shared" si="10" ref="B63:AE63">+B15-B61</f>
        <v>-263676.1100000001</v>
      </c>
      <c r="C63" s="125">
        <f t="shared" si="10"/>
        <v>-51992.45999999999</v>
      </c>
      <c r="D63" s="125">
        <f t="shared" si="10"/>
        <v>-20319</v>
      </c>
      <c r="E63" s="125">
        <f t="shared" si="10"/>
        <v>120000</v>
      </c>
      <c r="F63" s="125">
        <f t="shared" si="10"/>
        <v>181227</v>
      </c>
      <c r="G63" s="125">
        <f t="shared" si="10"/>
        <v>-14583</v>
      </c>
      <c r="H63" s="125">
        <f t="shared" si="10"/>
        <v>210504</v>
      </c>
      <c r="I63" s="125">
        <f t="shared" si="10"/>
        <v>-1576317</v>
      </c>
      <c r="J63" s="125">
        <f t="shared" si="10"/>
        <v>999448</v>
      </c>
      <c r="K63" s="223">
        <f t="shared" si="10"/>
        <v>1826492.86</v>
      </c>
      <c r="L63" s="223">
        <f t="shared" si="10"/>
        <v>961040</v>
      </c>
      <c r="M63" s="223">
        <f t="shared" si="10"/>
        <v>-240850</v>
      </c>
      <c r="N63" s="223">
        <f t="shared" si="10"/>
        <v>-943700</v>
      </c>
      <c r="O63" s="223">
        <f t="shared" si="10"/>
        <v>-1029700</v>
      </c>
      <c r="P63" s="224">
        <f t="shared" si="10"/>
        <v>-117000</v>
      </c>
      <c r="Q63" s="125">
        <f t="shared" si="10"/>
        <v>1020600</v>
      </c>
      <c r="R63" s="125">
        <f t="shared" si="10"/>
        <v>856000</v>
      </c>
      <c r="S63" s="125">
        <f t="shared" si="10"/>
        <v>273200</v>
      </c>
      <c r="T63" s="125">
        <f t="shared" si="10"/>
        <v>243600</v>
      </c>
      <c r="U63" s="125">
        <f t="shared" si="10"/>
        <v>248500</v>
      </c>
      <c r="V63" s="125">
        <f t="shared" si="10"/>
        <v>253500</v>
      </c>
      <c r="W63" s="125">
        <f t="shared" si="10"/>
        <v>258500</v>
      </c>
      <c r="X63" s="125">
        <f t="shared" si="10"/>
        <v>158700</v>
      </c>
      <c r="Y63" s="125">
        <f t="shared" si="10"/>
        <v>-88100</v>
      </c>
      <c r="Z63" s="125">
        <f t="shared" si="10"/>
        <v>-89900</v>
      </c>
      <c r="AA63" s="125">
        <f t="shared" si="10"/>
        <v>-91700</v>
      </c>
      <c r="AB63" s="125">
        <f t="shared" si="10"/>
        <v>-93500</v>
      </c>
      <c r="AC63" s="125">
        <f t="shared" si="10"/>
        <v>-95400</v>
      </c>
      <c r="AD63" s="125">
        <f t="shared" si="10"/>
        <v>-97300</v>
      </c>
      <c r="AE63" s="125">
        <f t="shared" si="10"/>
        <v>-99200</v>
      </c>
      <c r="AF63" s="77"/>
      <c r="AG63" s="126">
        <f>+AG15-AG61</f>
        <v>1557271.1</v>
      </c>
    </row>
    <row r="64" spans="1:33" ht="4.5" customHeight="1">
      <c r="A64" s="102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5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11"/>
      <c r="AG64" s="127"/>
    </row>
    <row r="65" spans="1:33" ht="20.25">
      <c r="A65" s="220" t="s">
        <v>6</v>
      </c>
      <c r="B65" s="218">
        <f aca="true" t="shared" si="11" ref="B65:AE65">+B4+B63</f>
        <v>677782.8899999999</v>
      </c>
      <c r="C65" s="218">
        <f t="shared" si="11"/>
        <v>625790.4299999999</v>
      </c>
      <c r="D65" s="218">
        <f t="shared" si="11"/>
        <v>605471.4299999999</v>
      </c>
      <c r="E65" s="218">
        <f t="shared" si="11"/>
        <v>736047</v>
      </c>
      <c r="F65" s="218">
        <f t="shared" si="11"/>
        <v>917274</v>
      </c>
      <c r="G65" s="218">
        <f t="shared" si="11"/>
        <v>902691</v>
      </c>
      <c r="H65" s="218">
        <f t="shared" si="11"/>
        <v>1113195</v>
      </c>
      <c r="I65" s="218">
        <f t="shared" si="11"/>
        <v>-463122</v>
      </c>
      <c r="J65" s="218">
        <f t="shared" si="11"/>
        <v>536326</v>
      </c>
      <c r="K65" s="218">
        <f t="shared" si="11"/>
        <v>2362818.8600000003</v>
      </c>
      <c r="L65" s="218">
        <f t="shared" si="11"/>
        <v>1497366</v>
      </c>
      <c r="M65" s="218">
        <f t="shared" si="11"/>
        <v>2121968.8600000003</v>
      </c>
      <c r="N65" s="218">
        <f t="shared" si="11"/>
        <v>1178268.8600000003</v>
      </c>
      <c r="O65" s="218">
        <f t="shared" si="11"/>
        <v>148568.86000000034</v>
      </c>
      <c r="P65" s="219">
        <f t="shared" si="11"/>
        <v>31568.860000000335</v>
      </c>
      <c r="Q65" s="128">
        <f t="shared" si="11"/>
        <v>1052168.8600000003</v>
      </c>
      <c r="R65" s="128">
        <f t="shared" si="11"/>
        <v>1908168.8600000003</v>
      </c>
      <c r="S65" s="128">
        <f t="shared" si="11"/>
        <v>2181368.8600000003</v>
      </c>
      <c r="T65" s="128">
        <f t="shared" si="11"/>
        <v>2424968.8600000003</v>
      </c>
      <c r="U65" s="128">
        <f t="shared" si="11"/>
        <v>2673468.8600000003</v>
      </c>
      <c r="V65" s="128">
        <f t="shared" si="11"/>
        <v>2926968.8600000003</v>
      </c>
      <c r="W65" s="128">
        <f t="shared" si="11"/>
        <v>3185468.8600000003</v>
      </c>
      <c r="X65" s="128">
        <f t="shared" si="11"/>
        <v>3344168.8600000003</v>
      </c>
      <c r="Y65" s="128">
        <f t="shared" si="11"/>
        <v>3256068.8600000003</v>
      </c>
      <c r="Z65" s="128">
        <f t="shared" si="11"/>
        <v>3166168.8600000003</v>
      </c>
      <c r="AA65" s="128">
        <f t="shared" si="11"/>
        <v>3074468.8600000003</v>
      </c>
      <c r="AB65" s="128">
        <f t="shared" si="11"/>
        <v>2980968.8600000003</v>
      </c>
      <c r="AC65" s="128">
        <f t="shared" si="11"/>
        <v>2885568.8600000003</v>
      </c>
      <c r="AD65" s="128">
        <f t="shared" si="11"/>
        <v>2788268.8600000003</v>
      </c>
      <c r="AE65" s="128">
        <f t="shared" si="11"/>
        <v>2689068.8600000003</v>
      </c>
      <c r="AF65" s="78"/>
      <c r="AG65" s="129">
        <f>+AG4+AG63</f>
        <v>2498730.1</v>
      </c>
    </row>
    <row r="67" spans="9:10" ht="15.75">
      <c r="I67" s="121">
        <v>1716938</v>
      </c>
      <c r="J67" s="121">
        <f>J63+N69</f>
        <v>999448</v>
      </c>
    </row>
    <row r="68" ht="15.75">
      <c r="I68" s="121">
        <f>+I67-I61</f>
        <v>10</v>
      </c>
    </row>
  </sheetData>
  <printOptions/>
  <pageMargins left="0" right="0" top="0.57" bottom="0.19" header="0.18" footer="0.18"/>
  <pageSetup fitToHeight="0" fitToWidth="1" horizontalDpi="600" verticalDpi="600" orientation="landscape" scale="80" r:id="rId1"/>
  <ignoredErrors>
    <ignoredError sqref="K2 K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 topLeftCell="A3">
      <selection activeCell="K26" sqref="K26"/>
    </sheetView>
  </sheetViews>
  <sheetFormatPr defaultColWidth="9.00390625" defaultRowHeight="15.75"/>
  <cols>
    <col min="1" max="1" width="52.375" style="30" bestFit="1" customWidth="1"/>
    <col min="2" max="3" width="10.375" style="33" hidden="1" customWidth="1"/>
    <col min="4" max="4" width="10.875" style="33" hidden="1" customWidth="1"/>
    <col min="5" max="6" width="10.375" style="33" bestFit="1" customWidth="1"/>
    <col min="7" max="8" width="10.375" style="30" bestFit="1" customWidth="1"/>
    <col min="9" max="11" width="10.375" style="30" customWidth="1"/>
    <col min="12" max="16384" width="9.00390625" style="30" customWidth="1"/>
  </cols>
  <sheetData>
    <row r="1" spans="1:11" ht="15.75">
      <c r="A1" s="226" t="s">
        <v>393</v>
      </c>
      <c r="B1" s="171" t="s">
        <v>211</v>
      </c>
      <c r="C1" s="171" t="s">
        <v>210</v>
      </c>
      <c r="D1" s="171" t="s">
        <v>210</v>
      </c>
      <c r="E1" s="171" t="s">
        <v>210</v>
      </c>
      <c r="F1" s="171" t="s">
        <v>211</v>
      </c>
      <c r="G1" s="171" t="s">
        <v>211</v>
      </c>
      <c r="H1" s="171" t="s">
        <v>211</v>
      </c>
      <c r="I1" s="171" t="s">
        <v>211</v>
      </c>
      <c r="J1" s="171" t="s">
        <v>211</v>
      </c>
      <c r="K1" s="171" t="s">
        <v>211</v>
      </c>
    </row>
    <row r="2" spans="1:11" ht="15.75">
      <c r="A2" s="234" t="s">
        <v>0</v>
      </c>
      <c r="B2" s="235">
        <v>2018</v>
      </c>
      <c r="C2" s="235">
        <v>2018</v>
      </c>
      <c r="D2" s="235">
        <v>2019</v>
      </c>
      <c r="E2" s="235">
        <v>2019</v>
      </c>
      <c r="F2" s="235">
        <f>B2+1</f>
        <v>2019</v>
      </c>
      <c r="G2" s="235">
        <f>+F2+1</f>
        <v>2020</v>
      </c>
      <c r="H2" s="235">
        <f>+G2+1</f>
        <v>2021</v>
      </c>
      <c r="I2" s="236">
        <f>+H2+1</f>
        <v>2022</v>
      </c>
      <c r="J2" s="236">
        <f>+I2+1</f>
        <v>2023</v>
      </c>
      <c r="K2" s="236">
        <f>+J2+1</f>
        <v>2024</v>
      </c>
    </row>
    <row r="3" spans="1:12" ht="20.25">
      <c r="A3" s="187" t="s">
        <v>391</v>
      </c>
      <c r="B3" s="228">
        <v>0</v>
      </c>
      <c r="C3" s="228">
        <v>0</v>
      </c>
      <c r="D3" s="228">
        <f>C62</f>
        <v>172133.69</v>
      </c>
      <c r="E3" s="228">
        <f>B62</f>
        <v>320000</v>
      </c>
      <c r="F3" s="228">
        <f>C62</f>
        <v>172133.69</v>
      </c>
      <c r="G3" s="228">
        <f>+E62</f>
        <v>297889.43</v>
      </c>
      <c r="H3" s="228">
        <f>+G62</f>
        <v>182389.43</v>
      </c>
      <c r="I3" s="237">
        <f>+H62</f>
        <v>135089.43</v>
      </c>
      <c r="J3" s="237">
        <f>+I62</f>
        <v>-52910.57000000001</v>
      </c>
      <c r="K3" s="237">
        <f>+J62</f>
        <v>71289.43</v>
      </c>
      <c r="L3" s="227"/>
    </row>
    <row r="4" spans="1:11" ht="15.75">
      <c r="A4" s="72" t="s">
        <v>119</v>
      </c>
      <c r="B4" s="104"/>
      <c r="C4" s="104"/>
      <c r="D4" s="104"/>
      <c r="E4" s="104"/>
      <c r="F4" s="104"/>
      <c r="G4" s="104"/>
      <c r="H4" s="104"/>
      <c r="I4" s="109"/>
      <c r="J4" s="109"/>
      <c r="K4" s="109"/>
    </row>
    <row r="5" spans="1:11" ht="15.75">
      <c r="A5" s="73" t="s">
        <v>274</v>
      </c>
      <c r="B5" s="104">
        <v>300000</v>
      </c>
      <c r="C5" s="104">
        <v>261950.13</v>
      </c>
      <c r="D5" s="104"/>
      <c r="E5" s="104">
        <v>158535.35</v>
      </c>
      <c r="F5" s="104">
        <v>300000</v>
      </c>
      <c r="G5" s="104">
        <v>400000</v>
      </c>
      <c r="H5" s="104">
        <v>400000</v>
      </c>
      <c r="I5" s="109">
        <v>400000</v>
      </c>
      <c r="J5" s="109">
        <v>400000</v>
      </c>
      <c r="K5" s="109">
        <v>400000</v>
      </c>
    </row>
    <row r="6" spans="1:11" ht="15.75">
      <c r="A6" s="73" t="s">
        <v>121</v>
      </c>
      <c r="B6" s="104"/>
      <c r="C6" s="104">
        <f>443.64+13.58</f>
        <v>457.21999999999997</v>
      </c>
      <c r="D6" s="104"/>
      <c r="E6" s="104"/>
      <c r="F6" s="104"/>
      <c r="G6" s="104">
        <f>ROUND(G3*0.015,-2)</f>
        <v>4500</v>
      </c>
      <c r="H6" s="104">
        <f>ROUND(H3*0.015,-2)</f>
        <v>2700</v>
      </c>
      <c r="I6" s="109">
        <f>ROUND(I3*0.015,-2)</f>
        <v>2000</v>
      </c>
      <c r="J6" s="109">
        <f>ROUND(J3*0.015,-2)</f>
        <v>-800</v>
      </c>
      <c r="K6" s="109">
        <f>ROUND(K3*0.015,-2)</f>
        <v>1100</v>
      </c>
    </row>
    <row r="7" spans="1:11" ht="15.75" hidden="1">
      <c r="A7" s="73" t="s">
        <v>122</v>
      </c>
      <c r="B7" s="104">
        <v>20000</v>
      </c>
      <c r="C7" s="104">
        <v>37051.71</v>
      </c>
      <c r="D7" s="104"/>
      <c r="E7" s="104"/>
      <c r="F7" s="104"/>
      <c r="G7" s="104"/>
      <c r="H7" s="104"/>
      <c r="I7" s="109"/>
      <c r="J7" s="109"/>
      <c r="K7" s="109"/>
    </row>
    <row r="8" spans="1:11" ht="15.75" hidden="1">
      <c r="A8" s="73" t="s">
        <v>394</v>
      </c>
      <c r="B8" s="104"/>
      <c r="C8" s="104">
        <v>200000</v>
      </c>
      <c r="D8" s="104"/>
      <c r="E8" s="104"/>
      <c r="F8" s="104"/>
      <c r="G8" s="104"/>
      <c r="H8" s="104"/>
      <c r="I8" s="109"/>
      <c r="J8" s="109"/>
      <c r="K8" s="109"/>
    </row>
    <row r="9" spans="1:11" ht="20.25">
      <c r="A9" s="193" t="s">
        <v>127</v>
      </c>
      <c r="B9" s="233">
        <f aca="true" t="shared" si="0" ref="B9:I9">SUM(B5:B8)</f>
        <v>320000</v>
      </c>
      <c r="C9" s="233">
        <f t="shared" si="0"/>
        <v>499459.06</v>
      </c>
      <c r="D9" s="233">
        <f t="shared" si="0"/>
        <v>0</v>
      </c>
      <c r="E9" s="223">
        <f aca="true" t="shared" si="1" ref="E9">SUM(E5:E8)</f>
        <v>158535.35</v>
      </c>
      <c r="F9" s="223">
        <f t="shared" si="0"/>
        <v>300000</v>
      </c>
      <c r="G9" s="223">
        <f t="shared" si="0"/>
        <v>404500</v>
      </c>
      <c r="H9" s="223">
        <f t="shared" si="0"/>
        <v>402700</v>
      </c>
      <c r="I9" s="224">
        <f t="shared" si="0"/>
        <v>402000</v>
      </c>
      <c r="J9" s="224">
        <f aca="true" t="shared" si="2" ref="J9:K9">SUM(J5:J8)</f>
        <v>399200</v>
      </c>
      <c r="K9" s="224">
        <f t="shared" si="2"/>
        <v>401100</v>
      </c>
    </row>
    <row r="10" spans="1:11" ht="15.75">
      <c r="A10" s="72" t="s">
        <v>392</v>
      </c>
      <c r="B10" s="104"/>
      <c r="C10" s="104"/>
      <c r="E10" s="104"/>
      <c r="F10" s="104"/>
      <c r="G10" s="104"/>
      <c r="H10" s="104"/>
      <c r="I10" s="109"/>
      <c r="J10" s="109"/>
      <c r="K10" s="109"/>
    </row>
    <row r="11" spans="1:12" ht="15.75" hidden="1">
      <c r="A11" s="73" t="s">
        <v>396</v>
      </c>
      <c r="B11" s="104"/>
      <c r="C11" s="104">
        <f>24472+75528</f>
        <v>100000</v>
      </c>
      <c r="D11" s="104"/>
      <c r="E11" s="104"/>
      <c r="F11" s="104"/>
      <c r="G11" s="104"/>
      <c r="H11" s="104"/>
      <c r="I11" s="109"/>
      <c r="J11" s="109"/>
      <c r="K11" s="109"/>
      <c r="L11" s="32"/>
    </row>
    <row r="12" spans="1:12" ht="15.75" hidden="1">
      <c r="A12" s="73" t="s">
        <v>397</v>
      </c>
      <c r="B12" s="104"/>
      <c r="C12" s="104">
        <v>812.5</v>
      </c>
      <c r="D12" s="104"/>
      <c r="E12" s="104"/>
      <c r="F12" s="104"/>
      <c r="G12" s="104"/>
      <c r="H12" s="104"/>
      <c r="I12" s="109"/>
      <c r="J12" s="109"/>
      <c r="K12" s="109"/>
      <c r="L12" s="32"/>
    </row>
    <row r="13" spans="1:12" ht="15.75">
      <c r="A13" s="73" t="s">
        <v>625</v>
      </c>
      <c r="B13" s="104"/>
      <c r="C13" s="104"/>
      <c r="D13" s="104"/>
      <c r="E13" s="104"/>
      <c r="F13" s="104"/>
      <c r="G13" s="104"/>
      <c r="H13" s="104"/>
      <c r="I13" s="109">
        <v>150000</v>
      </c>
      <c r="J13" s="109"/>
      <c r="K13" s="109"/>
      <c r="L13" s="32"/>
    </row>
    <row r="14" spans="1:12" ht="15.75" hidden="1">
      <c r="A14" s="73" t="s">
        <v>398</v>
      </c>
      <c r="B14" s="104"/>
      <c r="C14" s="104">
        <f>600+7600</f>
        <v>8200</v>
      </c>
      <c r="D14" s="104"/>
      <c r="E14" s="104"/>
      <c r="F14" s="104"/>
      <c r="G14" s="104"/>
      <c r="H14" s="104"/>
      <c r="I14" s="109"/>
      <c r="J14" s="109"/>
      <c r="K14" s="109"/>
      <c r="L14" s="32"/>
    </row>
    <row r="15" spans="1:12" ht="15.75" hidden="1">
      <c r="A15" s="73" t="s">
        <v>399</v>
      </c>
      <c r="B15" s="104"/>
      <c r="C15" s="104">
        <f>659.62+2433</f>
        <v>3092.62</v>
      </c>
      <c r="D15" s="104"/>
      <c r="E15" s="104"/>
      <c r="F15" s="104"/>
      <c r="G15" s="104"/>
      <c r="H15" s="104"/>
      <c r="I15" s="109"/>
      <c r="J15" s="109"/>
      <c r="K15" s="109"/>
      <c r="L15" s="32"/>
    </row>
    <row r="16" spans="1:11" ht="15.75" hidden="1">
      <c r="A16" s="73" t="s">
        <v>400</v>
      </c>
      <c r="B16" s="104"/>
      <c r="C16" s="104">
        <v>22400</v>
      </c>
      <c r="D16" s="104"/>
      <c r="E16" s="104"/>
      <c r="F16" s="104"/>
      <c r="G16" s="104"/>
      <c r="H16" s="104"/>
      <c r="I16" s="109"/>
      <c r="J16" s="109"/>
      <c r="K16" s="109"/>
    </row>
    <row r="17" spans="1:11" ht="15.75">
      <c r="A17" s="73" t="s">
        <v>275</v>
      </c>
      <c r="B17" s="104"/>
      <c r="C17" s="104"/>
      <c r="D17" s="104"/>
      <c r="E17" s="104">
        <v>4738.58</v>
      </c>
      <c r="F17" s="104">
        <f>25000+25000</f>
        <v>50000</v>
      </c>
      <c r="G17" s="104"/>
      <c r="H17" s="104"/>
      <c r="I17" s="109"/>
      <c r="J17" s="109"/>
      <c r="K17" s="109"/>
    </row>
    <row r="18" spans="1:12" ht="15.75">
      <c r="A18" s="73" t="s">
        <v>276</v>
      </c>
      <c r="B18" s="104"/>
      <c r="C18" s="104"/>
      <c r="D18" s="104"/>
      <c r="E18" s="104"/>
      <c r="F18" s="104">
        <v>100000</v>
      </c>
      <c r="G18" s="104">
        <v>135000</v>
      </c>
      <c r="H18" s="104"/>
      <c r="I18" s="109"/>
      <c r="J18" s="109"/>
      <c r="K18" s="109"/>
      <c r="L18" s="229"/>
    </row>
    <row r="19" spans="1:11" ht="15.75" hidden="1">
      <c r="A19" s="73" t="s">
        <v>298</v>
      </c>
      <c r="B19" s="104"/>
      <c r="C19" s="104">
        <v>7650</v>
      </c>
      <c r="D19" s="104"/>
      <c r="E19" s="104"/>
      <c r="F19" s="104"/>
      <c r="G19" s="104"/>
      <c r="H19" s="104"/>
      <c r="I19" s="109"/>
      <c r="J19" s="109"/>
      <c r="K19" s="109"/>
    </row>
    <row r="20" spans="1:11" ht="15.75" hidden="1">
      <c r="A20" s="73" t="s">
        <v>299</v>
      </c>
      <c r="B20" s="104"/>
      <c r="C20" s="104">
        <v>53111.8</v>
      </c>
      <c r="D20" s="104"/>
      <c r="E20" s="104"/>
      <c r="F20" s="104"/>
      <c r="G20" s="104"/>
      <c r="H20" s="104"/>
      <c r="I20" s="109"/>
      <c r="J20" s="109"/>
      <c r="K20" s="109"/>
    </row>
    <row r="21" spans="1:11" ht="15.75" hidden="1">
      <c r="A21" s="73" t="s">
        <v>300</v>
      </c>
      <c r="B21" s="104"/>
      <c r="C21" s="104">
        <v>8458.75</v>
      </c>
      <c r="D21" s="104"/>
      <c r="E21" s="104"/>
      <c r="F21" s="104"/>
      <c r="G21" s="104"/>
      <c r="H21" s="104"/>
      <c r="I21" s="109"/>
      <c r="J21" s="109"/>
      <c r="K21" s="109"/>
    </row>
    <row r="22" spans="1:11" ht="15.75" hidden="1">
      <c r="A22" s="73" t="s">
        <v>301</v>
      </c>
      <c r="B22" s="104"/>
      <c r="C22" s="104">
        <v>17957.2</v>
      </c>
      <c r="D22" s="104"/>
      <c r="E22" s="104"/>
      <c r="F22" s="104"/>
      <c r="G22" s="104"/>
      <c r="H22" s="104"/>
      <c r="I22" s="109"/>
      <c r="J22" s="109"/>
      <c r="K22" s="109"/>
    </row>
    <row r="23" spans="1:11" ht="15.75" hidden="1">
      <c r="A23" s="197" t="s">
        <v>277</v>
      </c>
      <c r="B23" s="104"/>
      <c r="C23" s="104">
        <v>7650</v>
      </c>
      <c r="D23" s="104"/>
      <c r="E23" s="104"/>
      <c r="F23" s="104"/>
      <c r="G23" s="104"/>
      <c r="H23" s="104"/>
      <c r="I23" s="109"/>
      <c r="J23" s="109"/>
      <c r="K23" s="109"/>
    </row>
    <row r="24" spans="1:11" ht="15.75">
      <c r="A24" s="197" t="s">
        <v>278</v>
      </c>
      <c r="B24" s="104"/>
      <c r="C24" s="104"/>
      <c r="D24" s="104">
        <v>100000.11</v>
      </c>
      <c r="E24" s="104">
        <v>100000.11</v>
      </c>
      <c r="F24" s="104">
        <v>100000</v>
      </c>
      <c r="G24" s="104"/>
      <c r="H24" s="104"/>
      <c r="I24" s="109"/>
      <c r="J24" s="109"/>
      <c r="K24" s="109"/>
    </row>
    <row r="25" spans="1:11" ht="15.75">
      <c r="A25" s="197" t="s">
        <v>279</v>
      </c>
      <c r="B25" s="104"/>
      <c r="C25" s="104">
        <v>812.5</v>
      </c>
      <c r="D25" s="104"/>
      <c r="E25" s="104"/>
      <c r="F25" s="104"/>
      <c r="G25" s="104"/>
      <c r="H25" s="104"/>
      <c r="I25" s="109"/>
      <c r="J25" s="109"/>
      <c r="K25" s="109"/>
    </row>
    <row r="26" spans="1:11" ht="15.75">
      <c r="A26" s="197" t="s">
        <v>307</v>
      </c>
      <c r="B26" s="104"/>
      <c r="C26" s="104">
        <v>625</v>
      </c>
      <c r="D26" s="104"/>
      <c r="E26" s="104"/>
      <c r="F26" s="104"/>
      <c r="G26" s="104"/>
      <c r="H26" s="104"/>
      <c r="I26" s="109"/>
      <c r="J26" s="109"/>
      <c r="K26" s="109"/>
    </row>
    <row r="27" spans="1:11" ht="15.75">
      <c r="A27" s="197" t="s">
        <v>320</v>
      </c>
      <c r="B27" s="104"/>
      <c r="C27" s="104"/>
      <c r="D27" s="104">
        <v>1675</v>
      </c>
      <c r="E27" s="104">
        <v>1675</v>
      </c>
      <c r="F27" s="104"/>
      <c r="G27" s="104"/>
      <c r="H27" s="104"/>
      <c r="I27" s="109"/>
      <c r="J27" s="109"/>
      <c r="K27" s="109"/>
    </row>
    <row r="28" spans="1:11" ht="15.75">
      <c r="A28" s="197" t="s">
        <v>280</v>
      </c>
      <c r="B28" s="104"/>
      <c r="C28" s="104"/>
      <c r="D28" s="104"/>
      <c r="E28" s="104"/>
      <c r="F28" s="104">
        <f>120000</f>
        <v>120000</v>
      </c>
      <c r="G28" s="104">
        <v>120000</v>
      </c>
      <c r="H28" s="104"/>
      <c r="I28" s="109"/>
      <c r="J28" s="109"/>
      <c r="K28" s="109"/>
    </row>
    <row r="29" spans="1:11" ht="15.75">
      <c r="A29" s="197" t="s">
        <v>281</v>
      </c>
      <c r="B29" s="104"/>
      <c r="C29" s="104"/>
      <c r="D29" s="104"/>
      <c r="E29" s="104"/>
      <c r="F29" s="104">
        <v>75000</v>
      </c>
      <c r="G29" s="104"/>
      <c r="H29" s="104"/>
      <c r="I29" s="109"/>
      <c r="J29" s="109"/>
      <c r="K29" s="109"/>
    </row>
    <row r="30" spans="1:11" ht="15.75">
      <c r="A30" s="197" t="s">
        <v>282</v>
      </c>
      <c r="B30" s="104"/>
      <c r="C30" s="104"/>
      <c r="D30" s="104"/>
      <c r="E30" s="104"/>
      <c r="F30" s="104"/>
      <c r="G30" s="104"/>
      <c r="H30" s="104"/>
      <c r="I30" s="109">
        <v>100000</v>
      </c>
      <c r="J30" s="109"/>
      <c r="K30" s="109"/>
    </row>
    <row r="31" spans="1:11" ht="15.75">
      <c r="A31" s="197" t="s">
        <v>624</v>
      </c>
      <c r="B31" s="104"/>
      <c r="C31" s="104"/>
      <c r="D31" s="104"/>
      <c r="E31" s="104"/>
      <c r="F31" s="104"/>
      <c r="G31" s="104"/>
      <c r="H31" s="104"/>
      <c r="I31" s="109">
        <v>40000</v>
      </c>
      <c r="J31" s="109"/>
      <c r="K31" s="109"/>
    </row>
    <row r="32" spans="1:11" ht="15.75">
      <c r="A32" s="197" t="s">
        <v>283</v>
      </c>
      <c r="B32" s="104"/>
      <c r="C32" s="104"/>
      <c r="D32" s="104"/>
      <c r="E32" s="104"/>
      <c r="F32" s="104"/>
      <c r="G32" s="104"/>
      <c r="H32" s="104"/>
      <c r="I32" s="109"/>
      <c r="J32" s="109"/>
      <c r="K32" s="109"/>
    </row>
    <row r="33" spans="1:11" ht="15.75">
      <c r="A33" s="197" t="s">
        <v>306</v>
      </c>
      <c r="B33" s="104"/>
      <c r="C33" s="104">
        <v>625</v>
      </c>
      <c r="D33" s="104"/>
      <c r="E33" s="104"/>
      <c r="F33" s="104"/>
      <c r="G33" s="104"/>
      <c r="H33" s="104"/>
      <c r="I33" s="109"/>
      <c r="J33" s="109"/>
      <c r="K33" s="109"/>
    </row>
    <row r="34" spans="1:11" ht="15.75">
      <c r="A34" s="197" t="s">
        <v>284</v>
      </c>
      <c r="B34" s="104"/>
      <c r="C34" s="104"/>
      <c r="D34" s="104">
        <v>600</v>
      </c>
      <c r="E34" s="104">
        <v>600</v>
      </c>
      <c r="F34" s="104"/>
      <c r="G34" s="104">
        <v>90000</v>
      </c>
      <c r="H34" s="104"/>
      <c r="I34" s="109"/>
      <c r="J34" s="109"/>
      <c r="K34" s="109"/>
    </row>
    <row r="35" spans="1:11" ht="15.75">
      <c r="A35" s="197" t="s">
        <v>628</v>
      </c>
      <c r="B35" s="104"/>
      <c r="C35" s="104"/>
      <c r="D35" s="104"/>
      <c r="E35" s="104"/>
      <c r="F35" s="104"/>
      <c r="G35" s="104"/>
      <c r="H35" s="104"/>
      <c r="I35" s="109"/>
      <c r="J35" s="109">
        <v>100000</v>
      </c>
      <c r="K35" s="109"/>
    </row>
    <row r="36" spans="1:11" ht="15.75">
      <c r="A36" s="197" t="s">
        <v>285</v>
      </c>
      <c r="B36" s="104"/>
      <c r="C36" s="104"/>
      <c r="D36" s="104"/>
      <c r="E36" s="104"/>
      <c r="F36" s="104"/>
      <c r="G36" s="104">
        <v>100000</v>
      </c>
      <c r="H36" s="104"/>
      <c r="I36" s="109"/>
      <c r="J36" s="109"/>
      <c r="K36" s="109"/>
    </row>
    <row r="37" spans="1:11" ht="15.75">
      <c r="A37" s="197" t="s">
        <v>626</v>
      </c>
      <c r="B37" s="104"/>
      <c r="C37" s="104"/>
      <c r="D37" s="104"/>
      <c r="E37" s="104"/>
      <c r="F37" s="104"/>
      <c r="G37" s="104"/>
      <c r="H37" s="104"/>
      <c r="I37" s="109"/>
      <c r="J37" s="109">
        <v>75000</v>
      </c>
      <c r="K37" s="109"/>
    </row>
    <row r="38" spans="1:11" ht="15.75">
      <c r="A38" s="197" t="s">
        <v>627</v>
      </c>
      <c r="B38" s="104"/>
      <c r="C38" s="104"/>
      <c r="D38" s="104"/>
      <c r="E38" s="104"/>
      <c r="F38" s="104"/>
      <c r="G38" s="104"/>
      <c r="H38" s="104"/>
      <c r="I38" s="109"/>
      <c r="J38" s="109">
        <v>100000</v>
      </c>
      <c r="K38" s="109"/>
    </row>
    <row r="39" spans="1:11" ht="15.75">
      <c r="A39" s="197" t="s">
        <v>286</v>
      </c>
      <c r="B39" s="104"/>
      <c r="C39" s="104"/>
      <c r="D39" s="104"/>
      <c r="E39" s="104"/>
      <c r="F39" s="104"/>
      <c r="G39" s="104">
        <v>75000</v>
      </c>
      <c r="H39" s="104"/>
      <c r="I39" s="109"/>
      <c r="J39" s="109"/>
      <c r="K39" s="109"/>
    </row>
    <row r="40" spans="1:11" ht="15.75">
      <c r="A40" s="197" t="s">
        <v>287</v>
      </c>
      <c r="B40" s="104"/>
      <c r="C40" s="104"/>
      <c r="D40" s="104"/>
      <c r="E40" s="104"/>
      <c r="F40" s="104"/>
      <c r="G40" s="104"/>
      <c r="H40" s="104">
        <v>50000</v>
      </c>
      <c r="I40" s="109"/>
      <c r="J40" s="109"/>
      <c r="K40" s="109"/>
    </row>
    <row r="41" spans="1:11" ht="15.75">
      <c r="A41" s="238" t="s">
        <v>288</v>
      </c>
      <c r="B41" s="104"/>
      <c r="C41" s="104"/>
      <c r="D41" s="104"/>
      <c r="E41" s="104"/>
      <c r="F41" s="104"/>
      <c r="G41" s="104"/>
      <c r="H41" s="104">
        <v>50000</v>
      </c>
      <c r="I41" s="109"/>
      <c r="J41" s="109"/>
      <c r="K41" s="109"/>
    </row>
    <row r="42" spans="1:11" ht="15.75">
      <c r="A42" s="238" t="s">
        <v>309</v>
      </c>
      <c r="B42" s="104"/>
      <c r="C42" s="104">
        <v>2500</v>
      </c>
      <c r="D42" s="104"/>
      <c r="E42" s="104"/>
      <c r="F42" s="104"/>
      <c r="G42" s="104"/>
      <c r="H42" s="104"/>
      <c r="I42" s="109"/>
      <c r="J42" s="109"/>
      <c r="K42" s="109"/>
    </row>
    <row r="43" spans="1:11" ht="15.75">
      <c r="A43" s="238" t="s">
        <v>289</v>
      </c>
      <c r="B43" s="104"/>
      <c r="C43" s="104"/>
      <c r="D43" s="104"/>
      <c r="E43" s="104"/>
      <c r="F43" s="104"/>
      <c r="G43" s="104"/>
      <c r="H43" s="104">
        <v>50000</v>
      </c>
      <c r="I43" s="109"/>
      <c r="J43" s="109"/>
      <c r="K43" s="109"/>
    </row>
    <row r="44" spans="1:11" ht="15.75">
      <c r="A44" s="238" t="s">
        <v>290</v>
      </c>
      <c r="B44" s="104"/>
      <c r="C44" s="104"/>
      <c r="D44" s="104"/>
      <c r="E44" s="104"/>
      <c r="F44" s="104"/>
      <c r="G44" s="104"/>
      <c r="H44" s="104">
        <v>50000</v>
      </c>
      <c r="I44" s="109"/>
      <c r="J44" s="109"/>
      <c r="K44" s="109"/>
    </row>
    <row r="45" spans="1:11" ht="15.75">
      <c r="A45" s="238" t="s">
        <v>291</v>
      </c>
      <c r="B45" s="104"/>
      <c r="C45" s="104"/>
      <c r="D45" s="104"/>
      <c r="E45" s="104"/>
      <c r="F45" s="104"/>
      <c r="G45" s="104"/>
      <c r="H45" s="104">
        <v>100000</v>
      </c>
      <c r="I45" s="109"/>
      <c r="J45" s="109"/>
      <c r="K45" s="109"/>
    </row>
    <row r="46" spans="1:11" ht="15.75">
      <c r="A46" s="238" t="s">
        <v>305</v>
      </c>
      <c r="B46" s="104"/>
      <c r="C46" s="104">
        <v>923</v>
      </c>
      <c r="D46" s="104"/>
      <c r="E46" s="104"/>
      <c r="F46" s="104"/>
      <c r="G46" s="104"/>
      <c r="H46" s="104"/>
      <c r="I46" s="109"/>
      <c r="J46" s="109"/>
      <c r="K46" s="109"/>
    </row>
    <row r="47" spans="1:11" ht="15.75">
      <c r="A47" s="238" t="s">
        <v>292</v>
      </c>
      <c r="B47" s="104"/>
      <c r="C47" s="104"/>
      <c r="D47" s="104"/>
      <c r="E47" s="104"/>
      <c r="F47" s="104"/>
      <c r="G47" s="104"/>
      <c r="H47" s="104">
        <v>50000</v>
      </c>
      <c r="I47" s="109"/>
      <c r="J47" s="109"/>
      <c r="K47" s="109"/>
    </row>
    <row r="48" spans="1:11" ht="15.75">
      <c r="A48" s="238" t="s">
        <v>293</v>
      </c>
      <c r="B48" s="104"/>
      <c r="C48" s="104"/>
      <c r="D48" s="104"/>
      <c r="E48" s="104"/>
      <c r="F48" s="104"/>
      <c r="G48" s="104"/>
      <c r="H48" s="104">
        <v>50000</v>
      </c>
      <c r="I48" s="109"/>
      <c r="J48" s="109"/>
      <c r="K48" s="109"/>
    </row>
    <row r="49" spans="1:11" ht="15.75">
      <c r="A49" s="238" t="s">
        <v>294</v>
      </c>
      <c r="B49" s="104"/>
      <c r="C49" s="104"/>
      <c r="D49" s="104"/>
      <c r="E49" s="104"/>
      <c r="F49" s="104"/>
      <c r="G49" s="104"/>
      <c r="H49" s="104"/>
      <c r="I49" s="109">
        <v>100000</v>
      </c>
      <c r="J49" s="109"/>
      <c r="K49" s="109"/>
    </row>
    <row r="50" spans="1:11" ht="15.75">
      <c r="A50" s="238" t="s">
        <v>295</v>
      </c>
      <c r="B50" s="104"/>
      <c r="C50" s="104"/>
      <c r="D50" s="104"/>
      <c r="E50" s="104"/>
      <c r="F50" s="104"/>
      <c r="G50" s="104"/>
      <c r="H50" s="104"/>
      <c r="I50" s="109">
        <v>50000</v>
      </c>
      <c r="J50" s="109"/>
      <c r="K50" s="109"/>
    </row>
    <row r="51" spans="1:11" ht="15.75">
      <c r="A51" s="238" t="s">
        <v>296</v>
      </c>
      <c r="B51" s="104"/>
      <c r="C51" s="104"/>
      <c r="D51" s="104"/>
      <c r="E51" s="104"/>
      <c r="F51" s="104"/>
      <c r="G51" s="104"/>
      <c r="H51" s="104"/>
      <c r="I51" s="109">
        <v>100000</v>
      </c>
      <c r="J51" s="109"/>
      <c r="K51" s="109"/>
    </row>
    <row r="52" spans="1:11" ht="15.75">
      <c r="A52" s="238" t="s">
        <v>297</v>
      </c>
      <c r="B52" s="104"/>
      <c r="C52" s="104">
        <v>6055</v>
      </c>
      <c r="D52" s="104"/>
      <c r="E52" s="104">
        <v>63674</v>
      </c>
      <c r="F52" s="104"/>
      <c r="G52" s="104"/>
      <c r="H52" s="104"/>
      <c r="I52" s="109"/>
      <c r="J52" s="109"/>
      <c r="K52" s="109"/>
    </row>
    <row r="53" spans="1:11" ht="15.75">
      <c r="A53" s="238" t="s">
        <v>304</v>
      </c>
      <c r="B53" s="104"/>
      <c r="C53" s="104"/>
      <c r="D53" s="104"/>
      <c r="E53" s="104"/>
      <c r="F53" s="104"/>
      <c r="G53" s="104"/>
      <c r="H53" s="104"/>
      <c r="I53" s="109"/>
      <c r="J53" s="109"/>
      <c r="K53" s="109"/>
    </row>
    <row r="54" spans="1:11" ht="15.75">
      <c r="A54" s="238" t="s">
        <v>302</v>
      </c>
      <c r="B54" s="104"/>
      <c r="C54" s="104">
        <f>6500+33500</f>
        <v>40000</v>
      </c>
      <c r="D54" s="104"/>
      <c r="E54" s="104"/>
      <c r="F54" s="104"/>
      <c r="G54" s="104"/>
      <c r="H54" s="104"/>
      <c r="I54" s="109"/>
      <c r="J54" s="109"/>
      <c r="K54" s="109"/>
    </row>
    <row r="55" spans="1:11" ht="15.75">
      <c r="A55" s="238" t="s">
        <v>303</v>
      </c>
      <c r="B55" s="104"/>
      <c r="C55" s="104">
        <f>6500+33500</f>
        <v>40000</v>
      </c>
      <c r="D55" s="104"/>
      <c r="E55" s="104"/>
      <c r="F55" s="104"/>
      <c r="G55" s="104"/>
      <c r="H55" s="104"/>
      <c r="I55" s="109"/>
      <c r="J55" s="109"/>
      <c r="K55" s="109"/>
    </row>
    <row r="56" spans="1:11" ht="15.75">
      <c r="A56" s="238" t="s">
        <v>308</v>
      </c>
      <c r="B56" s="104"/>
      <c r="C56" s="104">
        <v>4152</v>
      </c>
      <c r="D56" s="104"/>
      <c r="E56" s="104"/>
      <c r="F56" s="104"/>
      <c r="G56" s="104"/>
      <c r="H56" s="104"/>
      <c r="I56" s="109"/>
      <c r="J56" s="109"/>
      <c r="K56" s="109"/>
    </row>
    <row r="57" spans="1:11" ht="15.75">
      <c r="A57" s="238" t="s">
        <v>321</v>
      </c>
      <c r="B57" s="104"/>
      <c r="C57" s="104"/>
      <c r="D57" s="104">
        <f>5827.6+302</f>
        <v>6129.6</v>
      </c>
      <c r="E57" s="104"/>
      <c r="F57" s="104"/>
      <c r="G57" s="104"/>
      <c r="H57" s="104"/>
      <c r="I57" s="109"/>
      <c r="J57" s="109"/>
      <c r="K57" s="109"/>
    </row>
    <row r="58" spans="1:11" ht="15.75">
      <c r="A58" s="238" t="s">
        <v>395</v>
      </c>
      <c r="B58" s="104"/>
      <c r="C58" s="104">
        <v>2300</v>
      </c>
      <c r="D58" s="104"/>
      <c r="E58" s="104"/>
      <c r="F58" s="104"/>
      <c r="G58" s="104"/>
      <c r="H58" s="104">
        <v>50000</v>
      </c>
      <c r="I58" s="109">
        <v>50000</v>
      </c>
      <c r="J58" s="109"/>
      <c r="K58" s="109"/>
    </row>
    <row r="59" spans="1:11" ht="15.75">
      <c r="A59" s="191" t="s">
        <v>614</v>
      </c>
      <c r="B59" s="104"/>
      <c r="C59" s="104"/>
      <c r="D59" s="104"/>
      <c r="E59" s="104">
        <f>5827.6+283.8+3544.83+302</f>
        <v>9958.23</v>
      </c>
      <c r="F59" s="104"/>
      <c r="G59" s="104"/>
      <c r="H59" s="104"/>
      <c r="I59" s="109"/>
      <c r="J59" s="109"/>
      <c r="K59" s="109"/>
    </row>
    <row r="60" spans="1:11" ht="20.25">
      <c r="A60" s="193" t="s">
        <v>329</v>
      </c>
      <c r="B60" s="233">
        <f>SUM(B10:B59)</f>
        <v>0</v>
      </c>
      <c r="C60" s="233">
        <f>SUM(C11:C59)</f>
        <v>327325.37</v>
      </c>
      <c r="D60" s="233">
        <f aca="true" t="shared" si="3" ref="D60:K60">SUM(D10:D59)</f>
        <v>108404.71</v>
      </c>
      <c r="E60" s="223">
        <f t="shared" si="3"/>
        <v>180645.92</v>
      </c>
      <c r="F60" s="223">
        <f t="shared" si="3"/>
        <v>445000</v>
      </c>
      <c r="G60" s="223">
        <f t="shared" si="3"/>
        <v>520000</v>
      </c>
      <c r="H60" s="223">
        <f t="shared" si="3"/>
        <v>450000</v>
      </c>
      <c r="I60" s="224">
        <f t="shared" si="3"/>
        <v>590000</v>
      </c>
      <c r="J60" s="224">
        <f t="shared" si="3"/>
        <v>275000</v>
      </c>
      <c r="K60" s="224">
        <f t="shared" si="3"/>
        <v>0</v>
      </c>
    </row>
    <row r="61" spans="1:11" ht="20.25">
      <c r="A61" s="193" t="s">
        <v>166</v>
      </c>
      <c r="B61" s="223">
        <f aca="true" t="shared" si="4" ref="B61:I61">+B9-B60</f>
        <v>320000</v>
      </c>
      <c r="C61" s="223">
        <f t="shared" si="4"/>
        <v>172133.69</v>
      </c>
      <c r="D61" s="223">
        <f t="shared" si="4"/>
        <v>-108404.71</v>
      </c>
      <c r="E61" s="223">
        <f aca="true" t="shared" si="5" ref="E61">+E9-E60</f>
        <v>-22110.570000000007</v>
      </c>
      <c r="F61" s="223">
        <f t="shared" si="4"/>
        <v>-145000</v>
      </c>
      <c r="G61" s="223">
        <f t="shared" si="4"/>
        <v>-115500</v>
      </c>
      <c r="H61" s="223">
        <f t="shared" si="4"/>
        <v>-47300</v>
      </c>
      <c r="I61" s="224">
        <f t="shared" si="4"/>
        <v>-188000</v>
      </c>
      <c r="J61" s="224">
        <f aca="true" t="shared" si="6" ref="J61:K61">+J9-J60</f>
        <v>124200</v>
      </c>
      <c r="K61" s="224">
        <f t="shared" si="6"/>
        <v>401100</v>
      </c>
    </row>
    <row r="62" spans="1:11" ht="20.25">
      <c r="A62" s="239" t="s">
        <v>6</v>
      </c>
      <c r="B62" s="218">
        <f aca="true" t="shared" si="7" ref="B62:I62">+B3+B61</f>
        <v>320000</v>
      </c>
      <c r="C62" s="218">
        <f t="shared" si="7"/>
        <v>172133.69</v>
      </c>
      <c r="D62" s="218">
        <f t="shared" si="7"/>
        <v>63728.979999999996</v>
      </c>
      <c r="E62" s="218">
        <f aca="true" t="shared" si="8" ref="E62">+E3+E61</f>
        <v>297889.43</v>
      </c>
      <c r="F62" s="218">
        <f t="shared" si="7"/>
        <v>27133.690000000002</v>
      </c>
      <c r="G62" s="218">
        <f t="shared" si="7"/>
        <v>182389.43</v>
      </c>
      <c r="H62" s="218">
        <f t="shared" si="7"/>
        <v>135089.43</v>
      </c>
      <c r="I62" s="219">
        <f t="shared" si="7"/>
        <v>-52910.57000000001</v>
      </c>
      <c r="J62" s="219">
        <f aca="true" t="shared" si="9" ref="J62:K62">+J3+J61</f>
        <v>71289.43</v>
      </c>
      <c r="K62" s="219">
        <f t="shared" si="9"/>
        <v>472389.43</v>
      </c>
    </row>
    <row r="63" spans="1:11" ht="9" customHeight="1">
      <c r="A63" s="230"/>
      <c r="B63" s="231"/>
      <c r="C63" s="231"/>
      <c r="D63" s="231"/>
      <c r="E63" s="231"/>
      <c r="F63" s="231"/>
      <c r="G63" s="232"/>
      <c r="H63" s="232"/>
      <c r="I63" s="232"/>
      <c r="J63" s="232"/>
      <c r="K63" s="232"/>
    </row>
    <row r="64" spans="1:11" ht="15.75">
      <c r="A64" s="230"/>
      <c r="B64" s="231"/>
      <c r="E64" s="231"/>
      <c r="F64" s="231"/>
      <c r="G64" s="232"/>
      <c r="H64" s="232"/>
      <c r="I64" s="232"/>
      <c r="J64" s="232"/>
      <c r="K64" s="232"/>
    </row>
    <row r="65" spans="1:11" ht="15.75">
      <c r="A65" s="227"/>
      <c r="B65" s="32"/>
      <c r="E65" s="32"/>
      <c r="F65" s="32"/>
      <c r="G65" s="227"/>
      <c r="H65" s="227"/>
      <c r="I65" s="227"/>
      <c r="J65" s="227"/>
      <c r="K65" s="227"/>
    </row>
    <row r="66" spans="1:11" ht="15.75">
      <c r="A66" s="227"/>
      <c r="B66" s="32"/>
      <c r="C66" s="231"/>
      <c r="D66" s="231"/>
      <c r="E66" s="32"/>
      <c r="F66" s="32"/>
      <c r="G66" s="227"/>
      <c r="H66" s="227"/>
      <c r="I66" s="227"/>
      <c r="J66" s="227"/>
      <c r="K66" s="227"/>
    </row>
    <row r="67" spans="1:11" ht="15.75">
      <c r="A67" s="227"/>
      <c r="B67" s="32"/>
      <c r="C67" s="32"/>
      <c r="D67" s="32"/>
      <c r="E67" s="32"/>
      <c r="F67" s="32"/>
      <c r="G67" s="227"/>
      <c r="H67" s="227"/>
      <c r="I67" s="227"/>
      <c r="J67" s="227"/>
      <c r="K67" s="227"/>
    </row>
    <row r="68" spans="1:11" ht="15.75">
      <c r="A68" s="227"/>
      <c r="B68" s="32"/>
      <c r="C68" s="32"/>
      <c r="D68" s="32"/>
      <c r="E68" s="32"/>
      <c r="F68" s="32"/>
      <c r="G68" s="227"/>
      <c r="H68" s="227"/>
      <c r="I68" s="227"/>
      <c r="J68" s="227"/>
      <c r="K68" s="227"/>
    </row>
    <row r="69" spans="1:11" ht="15.75">
      <c r="A69" s="227"/>
      <c r="B69" s="32"/>
      <c r="C69" s="32"/>
      <c r="D69" s="32"/>
      <c r="E69" s="32"/>
      <c r="F69" s="32"/>
      <c r="G69" s="227"/>
      <c r="H69" s="227"/>
      <c r="I69" s="227"/>
      <c r="J69" s="227"/>
      <c r="K69" s="227"/>
    </row>
    <row r="70" spans="1:11" ht="15.75">
      <c r="A70" s="227"/>
      <c r="B70" s="32"/>
      <c r="C70" s="32"/>
      <c r="D70" s="32"/>
      <c r="E70" s="32"/>
      <c r="F70" s="32"/>
      <c r="G70" s="227"/>
      <c r="H70" s="227"/>
      <c r="I70" s="227"/>
      <c r="J70" s="227"/>
      <c r="K70" s="227"/>
    </row>
    <row r="71" spans="3:4" ht="15.75">
      <c r="C71" s="32"/>
      <c r="D71" s="32"/>
    </row>
    <row r="72" spans="3:4" ht="15.75">
      <c r="C72" s="32"/>
      <c r="D72" s="32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5"/>
  <sheetViews>
    <sheetView workbookViewId="0" topLeftCell="A1">
      <selection activeCell="E10" sqref="E10"/>
    </sheetView>
  </sheetViews>
  <sheetFormatPr defaultColWidth="9.00390625" defaultRowHeight="15.75"/>
  <cols>
    <col min="1" max="1" width="39.875" style="244" bestFit="1" customWidth="1"/>
    <col min="2" max="3" width="12.625" style="244" hidden="1" customWidth="1"/>
    <col min="4" max="4" width="12.625" style="244" bestFit="1" customWidth="1"/>
    <col min="5" max="22" width="14.125" style="244" bestFit="1" customWidth="1"/>
    <col min="23" max="16384" width="9.00390625" style="244" customWidth="1"/>
  </cols>
  <sheetData>
    <row r="1" ht="15.75">
      <c r="A1" s="244" t="s">
        <v>174</v>
      </c>
    </row>
    <row r="3" spans="1:22" ht="15.75">
      <c r="A3" s="255" t="s">
        <v>0</v>
      </c>
      <c r="B3" s="256">
        <v>2017</v>
      </c>
      <c r="C3" s="256">
        <f>+B3+1</f>
        <v>2018</v>
      </c>
      <c r="D3" s="256">
        <f>+C3+1</f>
        <v>2019</v>
      </c>
      <c r="E3" s="256">
        <f aca="true" t="shared" si="0" ref="E3:U3">+D3+1</f>
        <v>2020</v>
      </c>
      <c r="F3" s="256">
        <f t="shared" si="0"/>
        <v>2021</v>
      </c>
      <c r="G3" s="256">
        <f t="shared" si="0"/>
        <v>2022</v>
      </c>
      <c r="H3" s="257">
        <f t="shared" si="0"/>
        <v>2023</v>
      </c>
      <c r="I3" s="256">
        <f t="shared" si="0"/>
        <v>2024</v>
      </c>
      <c r="J3" s="256">
        <f t="shared" si="0"/>
        <v>2025</v>
      </c>
      <c r="K3" s="256">
        <f t="shared" si="0"/>
        <v>2026</v>
      </c>
      <c r="L3" s="256">
        <f t="shared" si="0"/>
        <v>2027</v>
      </c>
      <c r="M3" s="256">
        <f t="shared" si="0"/>
        <v>2028</v>
      </c>
      <c r="N3" s="256">
        <f t="shared" si="0"/>
        <v>2029</v>
      </c>
      <c r="O3" s="256">
        <f t="shared" si="0"/>
        <v>2030</v>
      </c>
      <c r="P3" s="256">
        <f t="shared" si="0"/>
        <v>2031</v>
      </c>
      <c r="Q3" s="256">
        <f t="shared" si="0"/>
        <v>2032</v>
      </c>
      <c r="R3" s="256">
        <f t="shared" si="0"/>
        <v>2033</v>
      </c>
      <c r="S3" s="256">
        <f t="shared" si="0"/>
        <v>2034</v>
      </c>
      <c r="T3" s="256">
        <f t="shared" si="0"/>
        <v>2035</v>
      </c>
      <c r="U3" s="256">
        <f t="shared" si="0"/>
        <v>2036</v>
      </c>
      <c r="V3" s="256">
        <f>+U3+1</f>
        <v>2037</v>
      </c>
    </row>
    <row r="4" spans="1:28" ht="20.25">
      <c r="A4" s="258" t="s">
        <v>401</v>
      </c>
      <c r="B4" s="259">
        <v>319567</v>
      </c>
      <c r="C4" s="259">
        <f>B66</f>
        <v>4583</v>
      </c>
      <c r="D4" s="277">
        <f>C66</f>
        <v>318982</v>
      </c>
      <c r="E4" s="277">
        <f aca="true" t="shared" si="1" ref="E4:V4">D66</f>
        <v>670772</v>
      </c>
      <c r="F4" s="277">
        <f t="shared" si="1"/>
        <v>562192</v>
      </c>
      <c r="G4" s="277">
        <f t="shared" si="1"/>
        <v>568692</v>
      </c>
      <c r="H4" s="278">
        <f t="shared" si="1"/>
        <v>344437</v>
      </c>
      <c r="I4" s="277">
        <f t="shared" si="1"/>
        <v>246732</v>
      </c>
      <c r="J4" s="277">
        <f t="shared" si="1"/>
        <v>256082</v>
      </c>
      <c r="K4" s="277">
        <f t="shared" si="1"/>
        <v>265842</v>
      </c>
      <c r="L4" s="277">
        <f t="shared" si="1"/>
        <v>245327</v>
      </c>
      <c r="M4" s="277">
        <f t="shared" si="1"/>
        <v>947327</v>
      </c>
      <c r="N4" s="277">
        <f t="shared" si="1"/>
        <v>1661077</v>
      </c>
      <c r="O4" s="277">
        <f t="shared" si="1"/>
        <v>2194077</v>
      </c>
      <c r="P4" s="277">
        <f t="shared" si="1"/>
        <v>1524577</v>
      </c>
      <c r="Q4" s="277">
        <f t="shared" si="1"/>
        <v>1666577</v>
      </c>
      <c r="R4" s="277">
        <f t="shared" si="1"/>
        <v>1566577</v>
      </c>
      <c r="S4" s="277">
        <f t="shared" si="1"/>
        <v>1389577</v>
      </c>
      <c r="T4" s="277">
        <f t="shared" si="1"/>
        <v>2099577</v>
      </c>
      <c r="U4" s="277">
        <f t="shared" si="1"/>
        <v>2241577</v>
      </c>
      <c r="V4" s="277">
        <f t="shared" si="1"/>
        <v>1165577</v>
      </c>
      <c r="W4" s="254"/>
      <c r="X4" s="254"/>
      <c r="Y4" s="254"/>
      <c r="Z4" s="254"/>
      <c r="AA4" s="254"/>
      <c r="AB4" s="254"/>
    </row>
    <row r="5" spans="1:22" ht="15.75">
      <c r="A5" s="261" t="s">
        <v>175</v>
      </c>
      <c r="B5" s="262"/>
      <c r="C5" s="262"/>
      <c r="D5" s="262"/>
      <c r="E5" s="262"/>
      <c r="F5" s="262"/>
      <c r="G5" s="262"/>
      <c r="H5" s="263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</row>
    <row r="6" spans="1:22" ht="15.75">
      <c r="A6" s="264" t="s">
        <v>176</v>
      </c>
      <c r="B6" s="262"/>
      <c r="C6" s="262"/>
      <c r="D6" s="262"/>
      <c r="E6" s="262"/>
      <c r="F6" s="262"/>
      <c r="G6" s="262"/>
      <c r="H6" s="263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</row>
    <row r="7" spans="1:28" ht="15.75">
      <c r="A7" s="265" t="s">
        <v>407</v>
      </c>
      <c r="B7" s="266">
        <v>194100</v>
      </c>
      <c r="C7" s="266">
        <f>ROUND(492500*0.755,-1)</f>
        <v>371840</v>
      </c>
      <c r="D7" s="138">
        <f>ROUND(461000*0.7563,-1)</f>
        <v>348650</v>
      </c>
      <c r="E7" s="138">
        <f>ROUND(477250*0.7563,-1)+10</f>
        <v>360950</v>
      </c>
      <c r="F7" s="138">
        <f>ROUND(F$63*0.7563,-1)</f>
        <v>665170</v>
      </c>
      <c r="G7" s="138">
        <f>ROUND(G$63*0.7563,-1)</f>
        <v>535840</v>
      </c>
      <c r="H7" s="139">
        <f>ROUND(H$63*0.7563,-1)</f>
        <v>623190</v>
      </c>
      <c r="I7" s="138">
        <f aca="true" t="shared" si="2" ref="I7:K7">ROUND(I$63*0.755,-1)</f>
        <v>8337650</v>
      </c>
      <c r="J7" s="138">
        <f t="shared" si="2"/>
        <v>448470</v>
      </c>
      <c r="K7" s="138">
        <f t="shared" si="2"/>
        <v>349190</v>
      </c>
      <c r="L7" s="138">
        <f>ROUND(1000000*0.755,-2)</f>
        <v>755000</v>
      </c>
      <c r="M7" s="138">
        <f aca="true" t="shared" si="3" ref="M7:V7">ROUND(1000000*0.755,-2)</f>
        <v>755000</v>
      </c>
      <c r="N7" s="138">
        <f t="shared" si="3"/>
        <v>755000</v>
      </c>
      <c r="O7" s="138">
        <f t="shared" si="3"/>
        <v>755000</v>
      </c>
      <c r="P7" s="138">
        <f t="shared" si="3"/>
        <v>755000</v>
      </c>
      <c r="Q7" s="138">
        <f t="shared" si="3"/>
        <v>755000</v>
      </c>
      <c r="R7" s="138">
        <f t="shared" si="3"/>
        <v>755000</v>
      </c>
      <c r="S7" s="138">
        <f t="shared" si="3"/>
        <v>755000</v>
      </c>
      <c r="T7" s="138">
        <f t="shared" si="3"/>
        <v>755000</v>
      </c>
      <c r="U7" s="138">
        <f t="shared" si="3"/>
        <v>755000</v>
      </c>
      <c r="V7" s="138">
        <f t="shared" si="3"/>
        <v>755000</v>
      </c>
      <c r="W7" s="247"/>
      <c r="X7" s="247"/>
      <c r="Y7" s="247"/>
      <c r="Z7" s="247"/>
      <c r="AA7" s="247"/>
      <c r="AB7" s="247"/>
    </row>
    <row r="8" spans="1:28" ht="15.75">
      <c r="A8" s="265" t="s">
        <v>408</v>
      </c>
      <c r="B8" s="267">
        <v>40655</v>
      </c>
      <c r="C8" s="267">
        <f>ROUND(492500*0.1625,-1)</f>
        <v>80030</v>
      </c>
      <c r="D8" s="267">
        <f>ROUND(461000*0.1625,-1)</f>
        <v>74910</v>
      </c>
      <c r="E8" s="267">
        <f>ROUND(477250*0.1625,-1)</f>
        <v>77550</v>
      </c>
      <c r="F8" s="267">
        <f aca="true" t="shared" si="4" ref="F8:K8">ROUND(F$63*0.1625,-1)</f>
        <v>142920</v>
      </c>
      <c r="G8" s="267">
        <f t="shared" si="4"/>
        <v>115130</v>
      </c>
      <c r="H8" s="268">
        <f t="shared" si="4"/>
        <v>133900</v>
      </c>
      <c r="I8" s="267">
        <f t="shared" si="4"/>
        <v>1794530</v>
      </c>
      <c r="J8" s="267">
        <f t="shared" si="4"/>
        <v>96530</v>
      </c>
      <c r="K8" s="267">
        <f t="shared" si="4"/>
        <v>75160</v>
      </c>
      <c r="L8" s="267">
        <f>ROUND(1000000*0.1625,-2)</f>
        <v>162500</v>
      </c>
      <c r="M8" s="267">
        <f aca="true" t="shared" si="5" ref="M8:V8">ROUND(1000000*0.1625,-2)</f>
        <v>162500</v>
      </c>
      <c r="N8" s="267">
        <f t="shared" si="5"/>
        <v>162500</v>
      </c>
      <c r="O8" s="267">
        <f t="shared" si="5"/>
        <v>162500</v>
      </c>
      <c r="P8" s="267">
        <f t="shared" si="5"/>
        <v>162500</v>
      </c>
      <c r="Q8" s="267">
        <f t="shared" si="5"/>
        <v>162500</v>
      </c>
      <c r="R8" s="267">
        <f t="shared" si="5"/>
        <v>162500</v>
      </c>
      <c r="S8" s="267">
        <f t="shared" si="5"/>
        <v>162500</v>
      </c>
      <c r="T8" s="267">
        <f t="shared" si="5"/>
        <v>162500</v>
      </c>
      <c r="U8" s="267">
        <f t="shared" si="5"/>
        <v>162500</v>
      </c>
      <c r="V8" s="267">
        <f t="shared" si="5"/>
        <v>162500</v>
      </c>
      <c r="W8" s="248"/>
      <c r="X8" s="248"/>
      <c r="Y8" s="248"/>
      <c r="Z8" s="248"/>
      <c r="AA8" s="248"/>
      <c r="AB8" s="248"/>
    </row>
    <row r="9" spans="1:28" ht="15.75">
      <c r="A9" s="265" t="s">
        <v>409</v>
      </c>
      <c r="B9" s="267">
        <v>22245</v>
      </c>
      <c r="C9" s="267">
        <f>ROUND(492500*0.0825,-1)</f>
        <v>40630</v>
      </c>
      <c r="D9" s="267">
        <f>ROUND(461000*0.0825,-1)</f>
        <v>38030</v>
      </c>
      <c r="E9" s="267">
        <f>ROUND(477250*0.0825,-1)</f>
        <v>39370</v>
      </c>
      <c r="F9" s="267">
        <f aca="true" t="shared" si="6" ref="F9:K9">ROUND(F$63*0.0825,-1)</f>
        <v>72560</v>
      </c>
      <c r="G9" s="267">
        <f t="shared" si="6"/>
        <v>58450</v>
      </c>
      <c r="H9" s="268">
        <f t="shared" si="6"/>
        <v>67980</v>
      </c>
      <c r="I9" s="267">
        <f t="shared" si="6"/>
        <v>911070</v>
      </c>
      <c r="J9" s="267">
        <f t="shared" si="6"/>
        <v>49010</v>
      </c>
      <c r="K9" s="267">
        <f t="shared" si="6"/>
        <v>38160</v>
      </c>
      <c r="L9" s="267">
        <f>ROUND(1000000*0.0825,-2)</f>
        <v>82500</v>
      </c>
      <c r="M9" s="267">
        <f aca="true" t="shared" si="7" ref="M9:V9">ROUND(1000000*0.0825,-2)</f>
        <v>82500</v>
      </c>
      <c r="N9" s="267">
        <f t="shared" si="7"/>
        <v>82500</v>
      </c>
      <c r="O9" s="267">
        <f t="shared" si="7"/>
        <v>82500</v>
      </c>
      <c r="P9" s="267">
        <f t="shared" si="7"/>
        <v>82500</v>
      </c>
      <c r="Q9" s="267">
        <f t="shared" si="7"/>
        <v>82500</v>
      </c>
      <c r="R9" s="267">
        <f t="shared" si="7"/>
        <v>82500</v>
      </c>
      <c r="S9" s="267">
        <f t="shared" si="7"/>
        <v>82500</v>
      </c>
      <c r="T9" s="267">
        <f t="shared" si="7"/>
        <v>82500</v>
      </c>
      <c r="U9" s="267">
        <f t="shared" si="7"/>
        <v>82500</v>
      </c>
      <c r="V9" s="267">
        <f t="shared" si="7"/>
        <v>82500</v>
      </c>
      <c r="W9" s="248"/>
      <c r="X9" s="248"/>
      <c r="Y9" s="248"/>
      <c r="Z9" s="248"/>
      <c r="AA9" s="248"/>
      <c r="AB9" s="248"/>
    </row>
    <row r="10" spans="1:28" ht="20.25">
      <c r="A10" s="276" t="s">
        <v>403</v>
      </c>
      <c r="B10" s="269">
        <f>SUM(B7:B9)</f>
        <v>257000</v>
      </c>
      <c r="C10" s="269">
        <f aca="true" t="shared" si="8" ref="C10:V10">SUM(C7:C9)</f>
        <v>492500</v>
      </c>
      <c r="D10" s="283">
        <f t="shared" si="8"/>
        <v>461590</v>
      </c>
      <c r="E10" s="283">
        <f t="shared" si="8"/>
        <v>477870</v>
      </c>
      <c r="F10" s="283">
        <f t="shared" si="8"/>
        <v>880650</v>
      </c>
      <c r="G10" s="283">
        <f t="shared" si="8"/>
        <v>709420</v>
      </c>
      <c r="H10" s="284">
        <f t="shared" si="8"/>
        <v>825070</v>
      </c>
      <c r="I10" s="283">
        <f t="shared" si="8"/>
        <v>11043250</v>
      </c>
      <c r="J10" s="283">
        <f t="shared" si="8"/>
        <v>594010</v>
      </c>
      <c r="K10" s="283">
        <f t="shared" si="8"/>
        <v>462510</v>
      </c>
      <c r="L10" s="283">
        <f t="shared" si="8"/>
        <v>1000000</v>
      </c>
      <c r="M10" s="283">
        <f t="shared" si="8"/>
        <v>1000000</v>
      </c>
      <c r="N10" s="283">
        <f t="shared" si="8"/>
        <v>1000000</v>
      </c>
      <c r="O10" s="283">
        <f t="shared" si="8"/>
        <v>1000000</v>
      </c>
      <c r="P10" s="283">
        <f t="shared" si="8"/>
        <v>1000000</v>
      </c>
      <c r="Q10" s="283">
        <f t="shared" si="8"/>
        <v>1000000</v>
      </c>
      <c r="R10" s="283">
        <f t="shared" si="8"/>
        <v>1000000</v>
      </c>
      <c r="S10" s="283">
        <f t="shared" si="8"/>
        <v>1000000</v>
      </c>
      <c r="T10" s="283">
        <f t="shared" si="8"/>
        <v>1000000</v>
      </c>
      <c r="U10" s="283">
        <f t="shared" si="8"/>
        <v>1000000</v>
      </c>
      <c r="V10" s="283">
        <f t="shared" si="8"/>
        <v>1000000</v>
      </c>
      <c r="W10" s="248"/>
      <c r="X10" s="248"/>
      <c r="Y10" s="248"/>
      <c r="Z10" s="248"/>
      <c r="AA10" s="248"/>
      <c r="AB10" s="248"/>
    </row>
    <row r="11" spans="1:28" ht="15.75">
      <c r="A11" s="264" t="s">
        <v>177</v>
      </c>
      <c r="B11" s="267"/>
      <c r="C11" s="267"/>
      <c r="D11" s="267"/>
      <c r="E11" s="267"/>
      <c r="F11" s="267"/>
      <c r="G11" s="267"/>
      <c r="H11" s="268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48"/>
      <c r="X11" s="248"/>
      <c r="Y11" s="248"/>
      <c r="Z11" s="248"/>
      <c r="AA11" s="248"/>
      <c r="AB11" s="248"/>
    </row>
    <row r="12" spans="1:28" ht="15.75">
      <c r="A12" s="265" t="s">
        <v>407</v>
      </c>
      <c r="B12" s="267">
        <v>407576</v>
      </c>
      <c r="C12" s="267">
        <f>406111+199793</f>
        <v>605904</v>
      </c>
      <c r="D12" s="267">
        <f>406561+177767</f>
        <v>584328</v>
      </c>
      <c r="E12" s="267">
        <f>406862+180548+187875</f>
        <v>775285</v>
      </c>
      <c r="F12" s="267">
        <f>407012+178030+187875</f>
        <v>772917</v>
      </c>
      <c r="G12" s="267">
        <f>410770+187875</f>
        <v>598645</v>
      </c>
      <c r="H12" s="268">
        <f>410545+187875+94375</f>
        <v>692795</v>
      </c>
      <c r="I12" s="267">
        <f>413926+187875</f>
        <v>601801</v>
      </c>
      <c r="J12" s="267">
        <v>413926</v>
      </c>
      <c r="K12" s="267">
        <f>ROUND(500000*0.755,-1)+18875</f>
        <v>396375</v>
      </c>
      <c r="L12" s="267">
        <f aca="true" t="shared" si="9" ref="L12:V12">ROUND((1000000-L10)*0.755,-1)</f>
        <v>0</v>
      </c>
      <c r="M12" s="267">
        <f t="shared" si="9"/>
        <v>0</v>
      </c>
      <c r="N12" s="267">
        <f t="shared" si="9"/>
        <v>0</v>
      </c>
      <c r="O12" s="267">
        <f t="shared" si="9"/>
        <v>0</v>
      </c>
      <c r="P12" s="267">
        <f t="shared" si="9"/>
        <v>0</v>
      </c>
      <c r="Q12" s="267">
        <f t="shared" si="9"/>
        <v>0</v>
      </c>
      <c r="R12" s="267">
        <f t="shared" si="9"/>
        <v>0</v>
      </c>
      <c r="S12" s="267">
        <f t="shared" si="9"/>
        <v>0</v>
      </c>
      <c r="T12" s="267">
        <f t="shared" si="9"/>
        <v>0</v>
      </c>
      <c r="U12" s="267">
        <f t="shared" si="9"/>
        <v>0</v>
      </c>
      <c r="V12" s="267">
        <f t="shared" si="9"/>
        <v>0</v>
      </c>
      <c r="W12" s="248"/>
      <c r="X12" s="248"/>
      <c r="Y12" s="248"/>
      <c r="Z12" s="248"/>
      <c r="AA12" s="248"/>
      <c r="AB12" s="248"/>
    </row>
    <row r="13" spans="1:28" ht="15.75">
      <c r="A13" s="265" t="s">
        <v>408</v>
      </c>
      <c r="B13" s="267">
        <v>85367</v>
      </c>
      <c r="C13" s="267">
        <f>87318+42957</f>
        <v>130275</v>
      </c>
      <c r="D13" s="267">
        <f>87415+38222</f>
        <v>125637</v>
      </c>
      <c r="E13" s="267">
        <f>87479+38821+40395</f>
        <v>166695</v>
      </c>
      <c r="F13" s="267">
        <f>87512+38278+40395</f>
        <v>166185</v>
      </c>
      <c r="G13" s="267">
        <f>88320+40395</f>
        <v>128715</v>
      </c>
      <c r="H13" s="268">
        <f>88271+40395+20300</f>
        <v>148966</v>
      </c>
      <c r="I13" s="267">
        <f>88998+40395</f>
        <v>129393</v>
      </c>
      <c r="J13" s="267">
        <v>88998</v>
      </c>
      <c r="K13" s="267">
        <f>ROUND(500000*0.1625,-1)+4000</f>
        <v>85250</v>
      </c>
      <c r="L13" s="267">
        <f aca="true" t="shared" si="10" ref="L13:V13">ROUND((1000000-L10)*0.1625,-1)</f>
        <v>0</v>
      </c>
      <c r="M13" s="267">
        <f t="shared" si="10"/>
        <v>0</v>
      </c>
      <c r="N13" s="267">
        <f t="shared" si="10"/>
        <v>0</v>
      </c>
      <c r="O13" s="267">
        <f t="shared" si="10"/>
        <v>0</v>
      </c>
      <c r="P13" s="267">
        <f t="shared" si="10"/>
        <v>0</v>
      </c>
      <c r="Q13" s="267">
        <f t="shared" si="10"/>
        <v>0</v>
      </c>
      <c r="R13" s="267">
        <f t="shared" si="10"/>
        <v>0</v>
      </c>
      <c r="S13" s="267">
        <f t="shared" si="10"/>
        <v>0</v>
      </c>
      <c r="T13" s="267">
        <f t="shared" si="10"/>
        <v>0</v>
      </c>
      <c r="U13" s="267">
        <f t="shared" si="10"/>
        <v>0</v>
      </c>
      <c r="V13" s="267">
        <f t="shared" si="10"/>
        <v>0</v>
      </c>
      <c r="W13" s="248"/>
      <c r="X13" s="248"/>
      <c r="Y13" s="248"/>
      <c r="Z13" s="248"/>
      <c r="AA13" s="248"/>
      <c r="AB13" s="248"/>
    </row>
    <row r="14" spans="1:28" ht="15.75">
      <c r="A14" s="265" t="s">
        <v>409</v>
      </c>
      <c r="B14" s="267">
        <v>46707</v>
      </c>
      <c r="C14" s="267">
        <f>46971+23108</f>
        <v>70079</v>
      </c>
      <c r="D14" s="267">
        <f>47024+20561</f>
        <v>67585</v>
      </c>
      <c r="E14" s="267">
        <f>47059+20881+21730</f>
        <v>89670</v>
      </c>
      <c r="F14" s="267">
        <f>47076+20592+21730</f>
        <v>89398</v>
      </c>
      <c r="G14" s="267">
        <f>47510+21730</f>
        <v>69240</v>
      </c>
      <c r="H14" s="268">
        <f>47484+21730+10300</f>
        <v>79514</v>
      </c>
      <c r="I14" s="267">
        <f>47876+21730</f>
        <v>69606</v>
      </c>
      <c r="J14" s="267">
        <v>47876</v>
      </c>
      <c r="K14" s="267">
        <f>ROUND(500000*0.0825,-1)+2000</f>
        <v>43250</v>
      </c>
      <c r="L14" s="267">
        <f aca="true" t="shared" si="11" ref="L14:V14">ROUND((1000000-L10)*0.0825,-1)</f>
        <v>0</v>
      </c>
      <c r="M14" s="267">
        <f t="shared" si="11"/>
        <v>0</v>
      </c>
      <c r="N14" s="267">
        <f t="shared" si="11"/>
        <v>0</v>
      </c>
      <c r="O14" s="267">
        <f t="shared" si="11"/>
        <v>0</v>
      </c>
      <c r="P14" s="267">
        <f t="shared" si="11"/>
        <v>0</v>
      </c>
      <c r="Q14" s="267">
        <f t="shared" si="11"/>
        <v>0</v>
      </c>
      <c r="R14" s="267">
        <f t="shared" si="11"/>
        <v>0</v>
      </c>
      <c r="S14" s="267">
        <f t="shared" si="11"/>
        <v>0</v>
      </c>
      <c r="T14" s="267">
        <f t="shared" si="11"/>
        <v>0</v>
      </c>
      <c r="U14" s="267">
        <f t="shared" si="11"/>
        <v>0</v>
      </c>
      <c r="V14" s="267">
        <f t="shared" si="11"/>
        <v>0</v>
      </c>
      <c r="W14" s="248"/>
      <c r="X14" s="248"/>
      <c r="Y14" s="248"/>
      <c r="Z14" s="248"/>
      <c r="AA14" s="248"/>
      <c r="AB14" s="248"/>
    </row>
    <row r="15" spans="1:28" ht="20.25">
      <c r="A15" s="276" t="s">
        <v>402</v>
      </c>
      <c r="B15" s="269">
        <f>SUM(B12:B14)</f>
        <v>539650</v>
      </c>
      <c r="C15" s="269">
        <f aca="true" t="shared" si="12" ref="C15:V15">SUM(C12:C14)</f>
        <v>806258</v>
      </c>
      <c r="D15" s="283">
        <f t="shared" si="12"/>
        <v>777550</v>
      </c>
      <c r="E15" s="283">
        <f t="shared" si="12"/>
        <v>1031650</v>
      </c>
      <c r="F15" s="283">
        <f t="shared" si="12"/>
        <v>1028500</v>
      </c>
      <c r="G15" s="283">
        <f t="shared" si="12"/>
        <v>796600</v>
      </c>
      <c r="H15" s="284">
        <f t="shared" si="12"/>
        <v>921275</v>
      </c>
      <c r="I15" s="283">
        <f t="shared" si="12"/>
        <v>800800</v>
      </c>
      <c r="J15" s="283">
        <f t="shared" si="12"/>
        <v>550800</v>
      </c>
      <c r="K15" s="283">
        <f t="shared" si="12"/>
        <v>524875</v>
      </c>
      <c r="L15" s="283">
        <f t="shared" si="12"/>
        <v>0</v>
      </c>
      <c r="M15" s="283">
        <f t="shared" si="12"/>
        <v>0</v>
      </c>
      <c r="N15" s="283">
        <f t="shared" si="12"/>
        <v>0</v>
      </c>
      <c r="O15" s="283">
        <f t="shared" si="12"/>
        <v>0</v>
      </c>
      <c r="P15" s="283">
        <f t="shared" si="12"/>
        <v>0</v>
      </c>
      <c r="Q15" s="283">
        <f t="shared" si="12"/>
        <v>0</v>
      </c>
      <c r="R15" s="283">
        <f t="shared" si="12"/>
        <v>0</v>
      </c>
      <c r="S15" s="283">
        <f t="shared" si="12"/>
        <v>0</v>
      </c>
      <c r="T15" s="283">
        <f t="shared" si="12"/>
        <v>0</v>
      </c>
      <c r="U15" s="283">
        <f t="shared" si="12"/>
        <v>0</v>
      </c>
      <c r="V15" s="283">
        <f t="shared" si="12"/>
        <v>0</v>
      </c>
      <c r="W15" s="248"/>
      <c r="X15" s="248"/>
      <c r="Y15" s="248"/>
      <c r="Z15" s="248"/>
      <c r="AA15" s="248"/>
      <c r="AB15" s="248"/>
    </row>
    <row r="16" spans="1:28" ht="36">
      <c r="A16" s="271" t="s">
        <v>178</v>
      </c>
      <c r="B16" s="269">
        <v>1109000</v>
      </c>
      <c r="C16" s="269">
        <v>1085000</v>
      </c>
      <c r="D16" s="267">
        <v>250000</v>
      </c>
      <c r="E16" s="269"/>
      <c r="F16" s="269"/>
      <c r="G16" s="269"/>
      <c r="H16" s="270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48"/>
      <c r="X16" s="248"/>
      <c r="Y16" s="248"/>
      <c r="Z16" s="248"/>
      <c r="AA16" s="248"/>
      <c r="AB16" s="248"/>
    </row>
    <row r="17" spans="1:28" ht="15.75">
      <c r="A17" s="272" t="s">
        <v>179</v>
      </c>
      <c r="B17" s="250">
        <f aca="true" t="shared" si="13" ref="B17:V17">B4+B10+B15+B16</f>
        <v>2225217</v>
      </c>
      <c r="C17" s="250">
        <f t="shared" si="13"/>
        <v>2388341</v>
      </c>
      <c r="D17" s="279">
        <f t="shared" si="13"/>
        <v>1808122</v>
      </c>
      <c r="E17" s="279">
        <f t="shared" si="13"/>
        <v>2180292</v>
      </c>
      <c r="F17" s="279">
        <f t="shared" si="13"/>
        <v>2471342</v>
      </c>
      <c r="G17" s="279">
        <f t="shared" si="13"/>
        <v>2074712</v>
      </c>
      <c r="H17" s="280">
        <f t="shared" si="13"/>
        <v>2090782</v>
      </c>
      <c r="I17" s="279">
        <f t="shared" si="13"/>
        <v>12090782</v>
      </c>
      <c r="J17" s="279">
        <f t="shared" si="13"/>
        <v>1400892</v>
      </c>
      <c r="K17" s="279">
        <f t="shared" si="13"/>
        <v>1253227</v>
      </c>
      <c r="L17" s="279">
        <f t="shared" si="13"/>
        <v>1245327</v>
      </c>
      <c r="M17" s="279">
        <f t="shared" si="13"/>
        <v>1947327</v>
      </c>
      <c r="N17" s="279">
        <f t="shared" si="13"/>
        <v>2661077</v>
      </c>
      <c r="O17" s="279">
        <f t="shared" si="13"/>
        <v>3194077</v>
      </c>
      <c r="P17" s="279">
        <f t="shared" si="13"/>
        <v>2524577</v>
      </c>
      <c r="Q17" s="279">
        <f t="shared" si="13"/>
        <v>2666577</v>
      </c>
      <c r="R17" s="279">
        <f t="shared" si="13"/>
        <v>2566577</v>
      </c>
      <c r="S17" s="279">
        <f t="shared" si="13"/>
        <v>2389577</v>
      </c>
      <c r="T17" s="279">
        <f t="shared" si="13"/>
        <v>3099577</v>
      </c>
      <c r="U17" s="279">
        <f t="shared" si="13"/>
        <v>3241577</v>
      </c>
      <c r="V17" s="279">
        <f t="shared" si="13"/>
        <v>2165577</v>
      </c>
      <c r="W17" s="248"/>
      <c r="X17" s="248"/>
      <c r="Y17" s="248"/>
      <c r="Z17" s="248"/>
      <c r="AA17" s="248"/>
      <c r="AB17" s="248"/>
    </row>
    <row r="18" spans="1:28" ht="15.75">
      <c r="A18" s="273" t="s">
        <v>404</v>
      </c>
      <c r="B18" s="267"/>
      <c r="C18" s="267"/>
      <c r="D18" s="267"/>
      <c r="E18" s="267"/>
      <c r="F18" s="267"/>
      <c r="G18" s="267"/>
      <c r="H18" s="268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48"/>
      <c r="X18" s="248"/>
      <c r="Y18" s="248"/>
      <c r="Z18" s="248"/>
      <c r="AA18" s="248"/>
      <c r="AB18" s="248"/>
    </row>
    <row r="19" spans="1:28" ht="15.75" hidden="1">
      <c r="A19" s="260" t="s">
        <v>180</v>
      </c>
      <c r="B19" s="266">
        <f>915000+85000</f>
        <v>1000000</v>
      </c>
      <c r="C19" s="267">
        <v>1085000</v>
      </c>
      <c r="D19" s="267"/>
      <c r="E19" s="267"/>
      <c r="F19" s="267"/>
      <c r="G19" s="267"/>
      <c r="H19" s="268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48"/>
      <c r="X19" s="248"/>
      <c r="Y19" s="248"/>
      <c r="Z19" s="248"/>
      <c r="AA19" s="248"/>
      <c r="AB19" s="248"/>
    </row>
    <row r="20" spans="1:28" ht="15.75" hidden="1">
      <c r="A20" s="260" t="s">
        <v>181</v>
      </c>
      <c r="B20" s="267">
        <v>60000</v>
      </c>
      <c r="C20" s="267"/>
      <c r="D20" s="267"/>
      <c r="E20" s="267"/>
      <c r="F20" s="267"/>
      <c r="G20" s="267"/>
      <c r="H20" s="268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48"/>
      <c r="X20" s="248"/>
      <c r="Y20" s="248"/>
      <c r="Z20" s="248"/>
      <c r="AA20" s="248"/>
      <c r="AB20" s="248"/>
    </row>
    <row r="21" spans="1:28" ht="15.75" hidden="1">
      <c r="A21" s="260" t="s">
        <v>182</v>
      </c>
      <c r="B21" s="267"/>
      <c r="C21" s="267"/>
      <c r="D21" s="267"/>
      <c r="E21" s="267"/>
      <c r="F21" s="267"/>
      <c r="G21" s="267"/>
      <c r="H21" s="268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48"/>
      <c r="X21" s="248"/>
      <c r="Y21" s="248"/>
      <c r="Z21" s="248"/>
      <c r="AA21" s="248"/>
      <c r="AB21" s="248"/>
    </row>
    <row r="22" spans="1:28" ht="15.75" hidden="1">
      <c r="A22" s="260" t="s">
        <v>183</v>
      </c>
      <c r="B22" s="267"/>
      <c r="C22" s="267"/>
      <c r="D22" s="267"/>
      <c r="E22" s="267"/>
      <c r="F22" s="267"/>
      <c r="G22" s="267"/>
      <c r="H22" s="268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48"/>
      <c r="X22" s="248"/>
      <c r="Y22" s="248"/>
      <c r="Z22" s="248"/>
      <c r="AA22" s="248"/>
      <c r="AB22" s="248"/>
    </row>
    <row r="23" spans="1:28" ht="15.75" hidden="1">
      <c r="A23" s="260" t="s">
        <v>598</v>
      </c>
      <c r="B23" s="267"/>
      <c r="C23" s="267"/>
      <c r="D23" s="267"/>
      <c r="E23" s="267"/>
      <c r="F23" s="267"/>
      <c r="G23" s="267"/>
      <c r="H23" s="268"/>
      <c r="I23" s="267">
        <f>6000000</f>
        <v>6000000</v>
      </c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48"/>
      <c r="X23" s="248"/>
      <c r="Y23" s="248"/>
      <c r="Z23" s="248"/>
      <c r="AA23" s="248"/>
      <c r="AB23" s="248"/>
    </row>
    <row r="24" spans="1:28" ht="15.75" hidden="1">
      <c r="A24" s="260" t="s">
        <v>184</v>
      </c>
      <c r="B24" s="267"/>
      <c r="C24" s="267"/>
      <c r="D24" s="267"/>
      <c r="E24" s="267"/>
      <c r="F24" s="267"/>
      <c r="G24" s="267"/>
      <c r="H24" s="268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48"/>
      <c r="X24" s="248"/>
      <c r="Y24" s="248"/>
      <c r="Z24" s="248"/>
      <c r="AA24" s="248"/>
      <c r="AB24" s="248"/>
    </row>
    <row r="25" spans="1:28" ht="15.75" hidden="1">
      <c r="A25" s="260" t="s">
        <v>600</v>
      </c>
      <c r="B25" s="267"/>
      <c r="C25" s="267"/>
      <c r="D25" s="267"/>
      <c r="E25" s="267"/>
      <c r="F25" s="267"/>
      <c r="G25" s="267"/>
      <c r="H25" s="268"/>
      <c r="I25" s="267"/>
      <c r="J25" s="267"/>
      <c r="K25" s="267"/>
      <c r="L25" s="267"/>
      <c r="M25" s="267"/>
      <c r="N25" s="267">
        <f>280000</f>
        <v>280000</v>
      </c>
      <c r="O25" s="267"/>
      <c r="P25" s="267"/>
      <c r="Q25" s="267"/>
      <c r="R25" s="267"/>
      <c r="S25" s="267"/>
      <c r="T25" s="267"/>
      <c r="U25" s="267"/>
      <c r="V25" s="267"/>
      <c r="W25" s="248"/>
      <c r="X25" s="248"/>
      <c r="Y25" s="248"/>
      <c r="Z25" s="248"/>
      <c r="AA25" s="248"/>
      <c r="AB25" s="248"/>
    </row>
    <row r="26" spans="1:28" ht="15.75">
      <c r="A26" s="260" t="s">
        <v>593</v>
      </c>
      <c r="B26" s="267"/>
      <c r="C26" s="267"/>
      <c r="D26" s="267"/>
      <c r="E26" s="267"/>
      <c r="F26" s="267">
        <f>232000</f>
        <v>232000</v>
      </c>
      <c r="G26" s="267"/>
      <c r="H26" s="268"/>
      <c r="I26" s="267"/>
      <c r="J26" s="267"/>
      <c r="K26" s="267"/>
      <c r="L26" s="267"/>
      <c r="M26" s="267"/>
      <c r="N26" s="267"/>
      <c r="O26" s="267"/>
      <c r="P26" s="267">
        <f>298000</f>
        <v>298000</v>
      </c>
      <c r="Q26" s="267"/>
      <c r="R26" s="267"/>
      <c r="S26" s="267"/>
      <c r="T26" s="267"/>
      <c r="U26" s="267"/>
      <c r="V26" s="267"/>
      <c r="W26" s="248"/>
      <c r="X26" s="248"/>
      <c r="Y26" s="248"/>
      <c r="Z26" s="248"/>
      <c r="AA26" s="248"/>
      <c r="AB26" s="248"/>
    </row>
    <row r="27" spans="1:28" ht="15.75">
      <c r="A27" s="260" t="s">
        <v>594</v>
      </c>
      <c r="B27" s="267"/>
      <c r="C27" s="267"/>
      <c r="D27" s="267"/>
      <c r="E27" s="267"/>
      <c r="F27" s="267">
        <f>116000</f>
        <v>116000</v>
      </c>
      <c r="G27" s="267"/>
      <c r="H27" s="268"/>
      <c r="I27" s="267"/>
      <c r="J27" s="267"/>
      <c r="K27" s="267"/>
      <c r="L27" s="267"/>
      <c r="M27" s="267"/>
      <c r="N27" s="267"/>
      <c r="O27" s="267"/>
      <c r="P27" s="267">
        <f>298000</f>
        <v>298000</v>
      </c>
      <c r="Q27" s="267"/>
      <c r="R27" s="267"/>
      <c r="S27" s="267"/>
      <c r="T27" s="267"/>
      <c r="U27" s="267"/>
      <c r="V27" s="267"/>
      <c r="W27" s="248"/>
      <c r="X27" s="248"/>
      <c r="Y27" s="248"/>
      <c r="Z27" s="248"/>
      <c r="AA27" s="248"/>
      <c r="AB27" s="248"/>
    </row>
    <row r="28" spans="1:28" ht="15.75" hidden="1">
      <c r="A28" s="260" t="s">
        <v>597</v>
      </c>
      <c r="B28" s="267"/>
      <c r="C28" s="267"/>
      <c r="D28" s="267"/>
      <c r="E28" s="267"/>
      <c r="F28" s="267"/>
      <c r="G28" s="267"/>
      <c r="H28" s="268"/>
      <c r="I28" s="267">
        <f>246000</f>
        <v>246000</v>
      </c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48"/>
      <c r="X28" s="248"/>
      <c r="Y28" s="248"/>
      <c r="Z28" s="248"/>
      <c r="AA28" s="248"/>
      <c r="AB28" s="248"/>
    </row>
    <row r="29" spans="1:28" ht="15.75">
      <c r="A29" s="260" t="s">
        <v>185</v>
      </c>
      <c r="B29" s="267"/>
      <c r="C29" s="267"/>
      <c r="D29" s="267"/>
      <c r="E29" s="267"/>
      <c r="G29" s="267">
        <f>503000</f>
        <v>503000</v>
      </c>
      <c r="H29" s="268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48"/>
      <c r="X29" s="248"/>
      <c r="Y29" s="248"/>
      <c r="Z29" s="248"/>
      <c r="AA29" s="248"/>
      <c r="AB29" s="248"/>
    </row>
    <row r="30" spans="1:28" ht="15.75" hidden="1">
      <c r="A30" s="260" t="s">
        <v>601</v>
      </c>
      <c r="B30" s="267"/>
      <c r="C30" s="267"/>
      <c r="D30" s="267"/>
      <c r="E30" s="267"/>
      <c r="F30" s="267"/>
      <c r="G30" s="267"/>
      <c r="H30" s="268"/>
      <c r="I30" s="267"/>
      <c r="J30" s="267"/>
      <c r="K30" s="267"/>
      <c r="L30" s="267"/>
      <c r="M30" s="267"/>
      <c r="N30" s="267"/>
      <c r="O30" s="267"/>
      <c r="P30" s="267"/>
      <c r="Q30" s="267">
        <f>845000</f>
        <v>845000</v>
      </c>
      <c r="R30" s="267"/>
      <c r="S30" s="267"/>
      <c r="T30" s="267"/>
      <c r="U30" s="267"/>
      <c r="V30" s="267"/>
      <c r="W30" s="248"/>
      <c r="X30" s="248"/>
      <c r="Y30" s="248"/>
      <c r="Z30" s="248"/>
      <c r="AA30" s="248"/>
      <c r="AB30" s="248"/>
    </row>
    <row r="31" spans="1:28" ht="15.75">
      <c r="A31" s="260" t="s">
        <v>186</v>
      </c>
      <c r="B31" s="267"/>
      <c r="C31" s="267"/>
      <c r="D31" s="267"/>
      <c r="E31" s="267">
        <f>330000</f>
        <v>330000</v>
      </c>
      <c r="F31" s="267"/>
      <c r="G31" s="267"/>
      <c r="H31" s="268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48"/>
      <c r="X31" s="248"/>
      <c r="Y31" s="248"/>
      <c r="Z31" s="248"/>
      <c r="AA31" s="248"/>
      <c r="AB31" s="248"/>
    </row>
    <row r="32" spans="1:28" ht="15.75" hidden="1">
      <c r="A32" s="260" t="s">
        <v>187</v>
      </c>
      <c r="B32" s="267"/>
      <c r="C32" s="267"/>
      <c r="D32" s="267"/>
      <c r="E32" s="267"/>
      <c r="F32" s="267"/>
      <c r="G32" s="267"/>
      <c r="H32" s="268"/>
      <c r="I32" s="267"/>
      <c r="J32" s="267"/>
      <c r="K32" s="267"/>
      <c r="L32" s="267"/>
      <c r="M32" s="267"/>
      <c r="N32" s="267"/>
      <c r="O32" s="267">
        <f>725000</f>
        <v>725000</v>
      </c>
      <c r="P32" s="267"/>
      <c r="Q32" s="267"/>
      <c r="R32" s="267"/>
      <c r="S32" s="267"/>
      <c r="T32" s="267"/>
      <c r="U32" s="267"/>
      <c r="V32" s="267"/>
      <c r="W32" s="248"/>
      <c r="X32" s="248"/>
      <c r="Y32" s="248"/>
      <c r="Z32" s="248"/>
      <c r="AA32" s="248"/>
      <c r="AB32" s="248"/>
    </row>
    <row r="33" spans="1:28" ht="15.75" hidden="1">
      <c r="A33" s="260" t="s">
        <v>188</v>
      </c>
      <c r="B33" s="267"/>
      <c r="C33" s="267"/>
      <c r="D33" s="267"/>
      <c r="E33" s="267"/>
      <c r="F33" s="267"/>
      <c r="G33" s="267"/>
      <c r="H33" s="268"/>
      <c r="I33" s="267"/>
      <c r="J33" s="267"/>
      <c r="K33" s="267"/>
      <c r="L33" s="267"/>
      <c r="M33" s="267"/>
      <c r="N33" s="267"/>
      <c r="O33" s="267"/>
      <c r="P33" s="267"/>
      <c r="Q33" s="267"/>
      <c r="R33" s="267">
        <f>790000</f>
        <v>790000</v>
      </c>
      <c r="S33" s="267"/>
      <c r="T33" s="267"/>
      <c r="U33" s="267"/>
      <c r="V33" s="267"/>
      <c r="W33" s="248"/>
      <c r="X33" s="248"/>
      <c r="Y33" s="248"/>
      <c r="Z33" s="248"/>
      <c r="AA33" s="248"/>
      <c r="AB33" s="248"/>
    </row>
    <row r="34" spans="1:28" ht="15.75" hidden="1">
      <c r="A34" s="260" t="s">
        <v>189</v>
      </c>
      <c r="B34" s="267"/>
      <c r="C34" s="267"/>
      <c r="D34" s="267"/>
      <c r="E34" s="267"/>
      <c r="F34" s="267"/>
      <c r="G34" s="267"/>
      <c r="H34" s="268"/>
      <c r="I34" s="267">
        <f>431000</f>
        <v>431000</v>
      </c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48"/>
      <c r="X34" s="248"/>
      <c r="Y34" s="248"/>
      <c r="Z34" s="248"/>
      <c r="AA34" s="248"/>
      <c r="AB34" s="248"/>
    </row>
    <row r="35" spans="1:28" ht="15.75" hidden="1">
      <c r="A35" s="260" t="s">
        <v>602</v>
      </c>
      <c r="B35" s="267"/>
      <c r="C35" s="267"/>
      <c r="D35" s="267"/>
      <c r="E35" s="267"/>
      <c r="F35" s="267"/>
      <c r="G35" s="267"/>
      <c r="H35" s="268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>
        <f>1650000</f>
        <v>1650000</v>
      </c>
      <c r="V35" s="267"/>
      <c r="W35" s="248"/>
      <c r="X35" s="248"/>
      <c r="Y35" s="248"/>
      <c r="Z35" s="248"/>
      <c r="AA35" s="248"/>
      <c r="AB35" s="248"/>
    </row>
    <row r="36" spans="1:28" ht="15.75">
      <c r="A36" s="260" t="s">
        <v>591</v>
      </c>
      <c r="B36" s="267"/>
      <c r="C36" s="267"/>
      <c r="D36" s="267"/>
      <c r="E36" s="267">
        <f>-20000</f>
        <v>-20000</v>
      </c>
      <c r="F36" s="267"/>
      <c r="G36" s="267"/>
      <c r="H36" s="268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48"/>
      <c r="X36" s="248"/>
      <c r="Y36" s="248"/>
      <c r="Z36" s="248"/>
      <c r="AA36" s="248"/>
      <c r="AB36" s="248"/>
    </row>
    <row r="37" spans="1:28" ht="15.75" hidden="1">
      <c r="A37" s="260" t="s">
        <v>596</v>
      </c>
      <c r="B37" s="267"/>
      <c r="C37" s="267"/>
      <c r="D37" s="267"/>
      <c r="E37" s="267"/>
      <c r="F37" s="267"/>
      <c r="G37" s="267"/>
      <c r="H37" s="268"/>
      <c r="I37" s="267">
        <f>677000</f>
        <v>677000</v>
      </c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48"/>
      <c r="X37" s="248"/>
      <c r="Y37" s="248"/>
      <c r="Z37" s="248"/>
      <c r="AA37" s="248"/>
      <c r="AB37" s="248"/>
    </row>
    <row r="38" spans="1:28" ht="15.75" hidden="1">
      <c r="A38" s="260" t="s">
        <v>190</v>
      </c>
      <c r="B38" s="267"/>
      <c r="C38" s="267"/>
      <c r="D38" s="267"/>
      <c r="E38" s="267"/>
      <c r="F38" s="267"/>
      <c r="G38" s="267"/>
      <c r="H38" s="268"/>
      <c r="I38" s="267"/>
      <c r="J38" s="267"/>
      <c r="K38" s="267">
        <f>260000</f>
        <v>260000</v>
      </c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48"/>
      <c r="X38" s="248"/>
      <c r="Y38" s="248"/>
      <c r="Z38" s="248"/>
      <c r="AA38" s="248"/>
      <c r="AB38" s="248"/>
    </row>
    <row r="39" spans="1:28" ht="15.75">
      <c r="A39" s="260" t="s">
        <v>191</v>
      </c>
      <c r="B39" s="267">
        <v>49000</v>
      </c>
      <c r="C39" s="267">
        <v>60000</v>
      </c>
      <c r="D39" s="267">
        <v>70000</v>
      </c>
      <c r="E39" s="267"/>
      <c r="F39" s="267"/>
      <c r="G39" s="267"/>
      <c r="H39" s="268">
        <f>292000</f>
        <v>292000</v>
      </c>
      <c r="I39" s="267"/>
      <c r="J39" s="267">
        <f>79000</f>
        <v>79000</v>
      </c>
      <c r="K39" s="267"/>
      <c r="L39" s="267">
        <f>80000</f>
        <v>80000</v>
      </c>
      <c r="M39" s="267"/>
      <c r="N39" s="267"/>
      <c r="O39" s="267">
        <f>88000</f>
        <v>88000</v>
      </c>
      <c r="P39" s="267"/>
      <c r="Q39" s="267"/>
      <c r="R39" s="267">
        <f>97000</f>
        <v>97000</v>
      </c>
      <c r="S39" s="267"/>
      <c r="T39" s="267"/>
      <c r="U39" s="267">
        <f>107000</f>
        <v>107000</v>
      </c>
      <c r="V39" s="267"/>
      <c r="W39" s="248"/>
      <c r="X39" s="248"/>
      <c r="Y39" s="248"/>
      <c r="Z39" s="248"/>
      <c r="AA39" s="248"/>
      <c r="AB39" s="248"/>
    </row>
    <row r="40" spans="1:28" ht="15.75" hidden="1">
      <c r="A40" s="260" t="s">
        <v>192</v>
      </c>
      <c r="B40" s="267"/>
      <c r="C40" s="267"/>
      <c r="D40" s="267"/>
      <c r="E40" s="267"/>
      <c r="F40" s="267"/>
      <c r="G40" s="267"/>
      <c r="H40" s="268"/>
      <c r="I40" s="267"/>
      <c r="J40" s="267"/>
      <c r="K40" s="267"/>
      <c r="L40" s="267">
        <f>75000</f>
        <v>75000</v>
      </c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48"/>
      <c r="X40" s="248"/>
      <c r="Y40" s="248"/>
      <c r="Z40" s="248"/>
      <c r="AA40" s="248"/>
      <c r="AB40" s="248"/>
    </row>
    <row r="41" spans="1:28" ht="15.75" hidden="1">
      <c r="A41" s="251" t="s">
        <v>193</v>
      </c>
      <c r="B41" s="267">
        <v>21000</v>
      </c>
      <c r="C41" s="267">
        <v>20000</v>
      </c>
      <c r="D41" s="267"/>
      <c r="E41" s="267"/>
      <c r="F41" s="267"/>
      <c r="G41" s="267"/>
      <c r="H41" s="268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48"/>
      <c r="X41" s="248"/>
      <c r="Y41" s="248"/>
      <c r="Z41" s="248"/>
      <c r="AA41" s="248"/>
      <c r="AB41" s="248"/>
    </row>
    <row r="42" spans="1:28" ht="15.75" hidden="1">
      <c r="A42" s="251" t="s">
        <v>194</v>
      </c>
      <c r="B42" s="267">
        <v>50000</v>
      </c>
      <c r="C42" s="267"/>
      <c r="D42" s="267"/>
      <c r="E42" s="267"/>
      <c r="F42" s="267"/>
      <c r="G42" s="267"/>
      <c r="H42" s="268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48"/>
      <c r="X42" s="248"/>
      <c r="Y42" s="248"/>
      <c r="Z42" s="248"/>
      <c r="AA42" s="248"/>
      <c r="AB42" s="248"/>
    </row>
    <row r="43" spans="1:28" ht="15.75" hidden="1">
      <c r="A43" s="251" t="s">
        <v>599</v>
      </c>
      <c r="B43" s="267"/>
      <c r="C43" s="267"/>
      <c r="D43" s="267"/>
      <c r="E43" s="267"/>
      <c r="F43" s="267"/>
      <c r="G43" s="267"/>
      <c r="H43" s="268"/>
      <c r="I43" s="267">
        <f>2400000</f>
        <v>2400000</v>
      </c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48"/>
      <c r="X43" s="248"/>
      <c r="Y43" s="248"/>
      <c r="Z43" s="248"/>
      <c r="AA43" s="248"/>
      <c r="AB43" s="248"/>
    </row>
    <row r="44" spans="1:28" ht="15.75">
      <c r="A44" s="251" t="s">
        <v>590</v>
      </c>
      <c r="B44" s="267">
        <v>40000</v>
      </c>
      <c r="C44" s="267">
        <v>42500</v>
      </c>
      <c r="D44" s="267">
        <f>65000</f>
        <v>65000</v>
      </c>
      <c r="E44" s="267">
        <f>115000</f>
        <v>115000</v>
      </c>
      <c r="F44" s="267">
        <f>52500</f>
        <v>52500</v>
      </c>
      <c r="G44" s="267">
        <f>52500</f>
        <v>52500</v>
      </c>
      <c r="H44" s="268">
        <f>55000</f>
        <v>55000</v>
      </c>
      <c r="I44" s="267">
        <f>57250</f>
        <v>57250</v>
      </c>
      <c r="J44" s="267">
        <f>60000</f>
        <v>60000</v>
      </c>
      <c r="K44" s="267">
        <f>62500</f>
        <v>62500</v>
      </c>
      <c r="L44" s="267">
        <f>65000</f>
        <v>65000</v>
      </c>
      <c r="M44" s="267">
        <f>67250</f>
        <v>67250</v>
      </c>
      <c r="N44" s="267">
        <f>70000</f>
        <v>70000</v>
      </c>
      <c r="O44" s="267">
        <f>72500</f>
        <v>72500</v>
      </c>
      <c r="P44" s="267">
        <f aca="true" t="shared" si="14" ref="P44:U44">75000</f>
        <v>75000</v>
      </c>
      <c r="Q44" s="267">
        <f t="shared" si="14"/>
        <v>75000</v>
      </c>
      <c r="R44" s="267">
        <f t="shared" si="14"/>
        <v>75000</v>
      </c>
      <c r="S44" s="267">
        <f t="shared" si="14"/>
        <v>75000</v>
      </c>
      <c r="T44" s="267">
        <f t="shared" si="14"/>
        <v>75000</v>
      </c>
      <c r="U44" s="267">
        <f t="shared" si="14"/>
        <v>75000</v>
      </c>
      <c r="V44" s="267"/>
      <c r="W44" s="248"/>
      <c r="X44" s="248"/>
      <c r="Y44" s="248"/>
      <c r="Z44" s="248"/>
      <c r="AA44" s="248"/>
      <c r="AB44" s="248"/>
    </row>
    <row r="45" spans="1:28" ht="15.75">
      <c r="A45" s="251" t="s">
        <v>592</v>
      </c>
      <c r="B45" s="267"/>
      <c r="C45" s="267"/>
      <c r="D45" s="267"/>
      <c r="E45" s="267">
        <f>45000</f>
        <v>45000</v>
      </c>
      <c r="F45" s="267"/>
      <c r="G45" s="267"/>
      <c r="H45" s="268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48"/>
      <c r="X45" s="248"/>
      <c r="Y45" s="248"/>
      <c r="Z45" s="248"/>
      <c r="AA45" s="248"/>
      <c r="AB45" s="248"/>
    </row>
    <row r="46" spans="1:28" ht="15.75">
      <c r="A46" s="251" t="s">
        <v>595</v>
      </c>
      <c r="B46" s="267"/>
      <c r="C46" s="267"/>
      <c r="D46" s="267"/>
      <c r="E46" s="267"/>
      <c r="F46" s="267">
        <f>50000</f>
        <v>50000</v>
      </c>
      <c r="G46" s="267"/>
      <c r="H46" s="268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48"/>
      <c r="X46" s="248"/>
      <c r="Y46" s="248"/>
      <c r="Z46" s="248"/>
      <c r="AA46" s="248"/>
      <c r="AB46" s="248"/>
    </row>
    <row r="47" spans="1:28" ht="15.75">
      <c r="A47" s="251" t="s">
        <v>195</v>
      </c>
      <c r="B47" s="267">
        <v>60000</v>
      </c>
      <c r="C47" s="267">
        <v>130000</v>
      </c>
      <c r="D47" s="267">
        <f>130000</f>
        <v>130000</v>
      </c>
      <c r="E47" s="267"/>
      <c r="F47" s="267"/>
      <c r="G47" s="267"/>
      <c r="H47" s="268"/>
      <c r="I47" s="267"/>
      <c r="J47" s="267"/>
      <c r="K47" s="267"/>
      <c r="L47" s="267"/>
      <c r="M47" s="267"/>
      <c r="N47" s="267"/>
      <c r="O47" s="267">
        <f>462000</f>
        <v>462000</v>
      </c>
      <c r="P47" s="267"/>
      <c r="Q47" s="267"/>
      <c r="R47" s="267"/>
      <c r="S47" s="267"/>
      <c r="T47" s="267"/>
      <c r="U47" s="267"/>
      <c r="V47" s="267"/>
      <c r="W47" s="248"/>
      <c r="X47" s="248"/>
      <c r="Y47" s="248"/>
      <c r="Z47" s="248"/>
      <c r="AA47" s="248"/>
      <c r="AB47" s="248"/>
    </row>
    <row r="48" spans="1:28" ht="15.75">
      <c r="A48" s="251" t="s">
        <v>603</v>
      </c>
      <c r="B48" s="267">
        <v>46000</v>
      </c>
      <c r="C48" s="267">
        <v>20000</v>
      </c>
      <c r="D48" s="267">
        <f>20000</f>
        <v>20000</v>
      </c>
      <c r="E48" s="267">
        <f>40000</f>
        <v>40000</v>
      </c>
      <c r="F48" s="267">
        <f>20000</f>
        <v>20000</v>
      </c>
      <c r="G48" s="267">
        <f>20000</f>
        <v>20000</v>
      </c>
      <c r="H48" s="268">
        <f>40000</f>
        <v>40000</v>
      </c>
      <c r="I48" s="267">
        <f>20000</f>
        <v>20000</v>
      </c>
      <c r="J48" s="267">
        <f>20000</f>
        <v>20000</v>
      </c>
      <c r="K48" s="267">
        <f>20000</f>
        <v>20000</v>
      </c>
      <c r="L48" s="267">
        <f>20000</f>
        <v>20000</v>
      </c>
      <c r="M48" s="267">
        <f>45000</f>
        <v>45000</v>
      </c>
      <c r="N48" s="267">
        <f>20000</f>
        <v>20000</v>
      </c>
      <c r="O48" s="267">
        <f>20000</f>
        <v>20000</v>
      </c>
      <c r="P48" s="267">
        <f>20000</f>
        <v>20000</v>
      </c>
      <c r="Q48" s="267">
        <f>20000</f>
        <v>20000</v>
      </c>
      <c r="R48" s="267">
        <f>50000</f>
        <v>50000</v>
      </c>
      <c r="S48" s="267">
        <f>20000</f>
        <v>20000</v>
      </c>
      <c r="T48" s="267">
        <f>20000</f>
        <v>20000</v>
      </c>
      <c r="U48" s="267">
        <f>20000</f>
        <v>20000</v>
      </c>
      <c r="V48" s="267"/>
      <c r="W48" s="248"/>
      <c r="X48" s="248"/>
      <c r="Y48" s="248"/>
      <c r="Z48" s="248"/>
      <c r="AA48" s="248"/>
      <c r="AB48" s="248"/>
    </row>
    <row r="49" spans="1:28" ht="15.75" hidden="1">
      <c r="A49" s="251" t="s">
        <v>196</v>
      </c>
      <c r="B49" s="267">
        <v>10000</v>
      </c>
      <c r="C49" s="267"/>
      <c r="D49" s="267"/>
      <c r="E49" s="267"/>
      <c r="F49" s="267"/>
      <c r="G49" s="267"/>
      <c r="H49" s="268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48"/>
      <c r="X49" s="248"/>
      <c r="Y49" s="248"/>
      <c r="Z49" s="248"/>
      <c r="AA49" s="248"/>
      <c r="AB49" s="248"/>
    </row>
    <row r="50" spans="1:28" ht="15.75" hidden="1">
      <c r="A50" s="251" t="s">
        <v>197</v>
      </c>
      <c r="B50" s="267">
        <v>30000</v>
      </c>
      <c r="C50" s="267"/>
      <c r="D50" s="267"/>
      <c r="E50" s="267"/>
      <c r="F50" s="267"/>
      <c r="G50" s="267"/>
      <c r="H50" s="268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48"/>
      <c r="X50" s="248"/>
      <c r="Y50" s="248"/>
      <c r="Z50" s="248"/>
      <c r="AA50" s="248"/>
      <c r="AB50" s="248"/>
    </row>
    <row r="51" spans="1:28" ht="15.75" hidden="1">
      <c r="A51" s="251" t="s">
        <v>59</v>
      </c>
      <c r="B51" s="267"/>
      <c r="C51" s="267">
        <v>25000</v>
      </c>
      <c r="D51" s="267"/>
      <c r="E51" s="267"/>
      <c r="F51" s="267"/>
      <c r="G51" s="267"/>
      <c r="H51" s="268"/>
      <c r="I51" s="267"/>
      <c r="J51" s="267"/>
      <c r="K51" s="267"/>
      <c r="L51" s="267"/>
      <c r="M51" s="267">
        <f>34000</f>
        <v>34000</v>
      </c>
      <c r="N51" s="267"/>
      <c r="O51" s="267"/>
      <c r="P51" s="267"/>
      <c r="Q51" s="267"/>
      <c r="R51" s="267"/>
      <c r="S51" s="267"/>
      <c r="T51" s="267"/>
      <c r="U51" s="267"/>
      <c r="V51" s="267"/>
      <c r="W51" s="248"/>
      <c r="X51" s="248"/>
      <c r="Y51" s="248"/>
      <c r="Z51" s="248"/>
      <c r="AA51" s="248"/>
      <c r="AB51" s="248"/>
    </row>
    <row r="52" spans="1:28" ht="15.75" hidden="1">
      <c r="A52" s="251" t="s">
        <v>66</v>
      </c>
      <c r="B52" s="267"/>
      <c r="C52" s="267">
        <v>40000</v>
      </c>
      <c r="D52" s="267"/>
      <c r="E52" s="267"/>
      <c r="F52" s="267"/>
      <c r="G52" s="267"/>
      <c r="H52" s="268"/>
      <c r="I52" s="267"/>
      <c r="J52" s="267"/>
      <c r="K52" s="267"/>
      <c r="L52" s="267"/>
      <c r="M52" s="267">
        <f>55000</f>
        <v>55000</v>
      </c>
      <c r="N52" s="267"/>
      <c r="O52" s="267"/>
      <c r="P52" s="267"/>
      <c r="Q52" s="267"/>
      <c r="R52" s="267"/>
      <c r="S52" s="267"/>
      <c r="T52" s="267">
        <f>69000</f>
        <v>69000</v>
      </c>
      <c r="U52" s="267"/>
      <c r="V52" s="267"/>
      <c r="W52" s="248"/>
      <c r="X52" s="248"/>
      <c r="Y52" s="248"/>
      <c r="Z52" s="248"/>
      <c r="AA52" s="248"/>
      <c r="AB52" s="248"/>
    </row>
    <row r="53" spans="1:28" ht="15.75">
      <c r="A53" s="251" t="s">
        <v>67</v>
      </c>
      <c r="B53" s="267"/>
      <c r="C53" s="267">
        <v>25000</v>
      </c>
      <c r="D53" s="267"/>
      <c r="E53" s="267"/>
      <c r="F53" s="267"/>
      <c r="G53" s="267">
        <f>25000</f>
        <v>25000</v>
      </c>
      <c r="H53" s="268"/>
      <c r="I53" s="267"/>
      <c r="J53" s="267"/>
      <c r="K53" s="267"/>
      <c r="L53" s="267"/>
      <c r="M53" s="267">
        <f>25000</f>
        <v>25000</v>
      </c>
      <c r="N53" s="267"/>
      <c r="O53" s="267"/>
      <c r="P53" s="267">
        <f>25000</f>
        <v>25000</v>
      </c>
      <c r="Q53" s="267"/>
      <c r="R53" s="267"/>
      <c r="S53" s="267">
        <f>25000</f>
        <v>25000</v>
      </c>
      <c r="T53" s="267"/>
      <c r="U53" s="267"/>
      <c r="V53" s="267"/>
      <c r="W53" s="248"/>
      <c r="X53" s="248"/>
      <c r="Y53" s="248"/>
      <c r="Z53" s="248"/>
      <c r="AA53" s="248"/>
      <c r="AB53" s="248"/>
    </row>
    <row r="54" spans="1:28" ht="15.75">
      <c r="A54" s="251" t="s">
        <v>198</v>
      </c>
      <c r="B54" s="267"/>
      <c r="C54" s="267">
        <v>40000</v>
      </c>
      <c r="D54" s="267">
        <f>40000</f>
        <v>40000</v>
      </c>
      <c r="E54" s="267">
        <f>44000</f>
        <v>44000</v>
      </c>
      <c r="F54" s="267">
        <f>48000</f>
        <v>48000</v>
      </c>
      <c r="G54" s="267">
        <f>48000</f>
        <v>48000</v>
      </c>
      <c r="H54" s="268">
        <f>50000</f>
        <v>50000</v>
      </c>
      <c r="I54" s="267">
        <f>110000</f>
        <v>110000</v>
      </c>
      <c r="J54" s="267">
        <f>54000</f>
        <v>54000</v>
      </c>
      <c r="K54" s="267">
        <f>56000</f>
        <v>56000</v>
      </c>
      <c r="L54" s="267">
        <f>58000</f>
        <v>58000</v>
      </c>
      <c r="M54" s="267">
        <f>60000</f>
        <v>60000</v>
      </c>
      <c r="N54" s="267">
        <f>62000</f>
        <v>62000</v>
      </c>
      <c r="O54" s="267">
        <f>64000</f>
        <v>64000</v>
      </c>
      <c r="P54" s="267">
        <f>66000</f>
        <v>66000</v>
      </c>
      <c r="Q54" s="267">
        <f>68000</f>
        <v>68000</v>
      </c>
      <c r="R54" s="267">
        <f>70000</f>
        <v>70000</v>
      </c>
      <c r="S54" s="267">
        <f>72000</f>
        <v>72000</v>
      </c>
      <c r="T54" s="267">
        <f>74000</f>
        <v>74000</v>
      </c>
      <c r="U54" s="267">
        <f>76000</f>
        <v>76000</v>
      </c>
      <c r="V54" s="267"/>
      <c r="W54" s="248"/>
      <c r="X54" s="248"/>
      <c r="Y54" s="248"/>
      <c r="Z54" s="248"/>
      <c r="AA54" s="248"/>
      <c r="AB54" s="248"/>
    </row>
    <row r="55" spans="1:28" ht="15.75" hidden="1">
      <c r="A55" s="251" t="s">
        <v>199</v>
      </c>
      <c r="B55" s="267"/>
      <c r="C55" s="267"/>
      <c r="D55" s="267"/>
      <c r="E55" s="267"/>
      <c r="F55" s="267"/>
      <c r="G55" s="267"/>
      <c r="H55" s="268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48"/>
      <c r="X55" s="248"/>
      <c r="Y55" s="248"/>
      <c r="Z55" s="248"/>
      <c r="AA55" s="248"/>
      <c r="AB55" s="248"/>
    </row>
    <row r="56" spans="1:28" ht="15.75" hidden="1">
      <c r="A56" s="251" t="s">
        <v>200</v>
      </c>
      <c r="B56" s="267"/>
      <c r="C56" s="267"/>
      <c r="D56" s="267"/>
      <c r="E56" s="267"/>
      <c r="F56" s="267"/>
      <c r="G56" s="267"/>
      <c r="H56" s="268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48"/>
      <c r="X56" s="248"/>
      <c r="Y56" s="248"/>
      <c r="Z56" s="248"/>
      <c r="AA56" s="248"/>
      <c r="AB56" s="248"/>
    </row>
    <row r="57" spans="1:28" ht="15.75">
      <c r="A57" s="251" t="s">
        <v>201</v>
      </c>
      <c r="B57" s="267"/>
      <c r="C57" s="267"/>
      <c r="D57" s="267"/>
      <c r="E57" s="267">
        <f>45000</f>
        <v>45000</v>
      </c>
      <c r="F57" s="267">
        <v>68000</v>
      </c>
      <c r="G57" s="267">
        <f>60000</f>
        <v>60000</v>
      </c>
      <c r="H57" s="268"/>
      <c r="I57" s="267">
        <f>152000</f>
        <v>152000</v>
      </c>
      <c r="K57" s="267">
        <f>64000</f>
        <v>64000</v>
      </c>
      <c r="L57" s="267"/>
      <c r="M57" s="267"/>
      <c r="N57" s="267">
        <f>35000</f>
        <v>35000</v>
      </c>
      <c r="O57" s="267">
        <f>87000</f>
        <v>87000</v>
      </c>
      <c r="P57" s="267">
        <f>76000</f>
        <v>76000</v>
      </c>
      <c r="Q57" s="267">
        <f>92000</f>
        <v>92000</v>
      </c>
      <c r="R57" s="267">
        <f>95000</f>
        <v>95000</v>
      </c>
      <c r="S57" s="267">
        <f>98000</f>
        <v>98000</v>
      </c>
      <c r="T57" s="267">
        <f>101000</f>
        <v>101000</v>
      </c>
      <c r="U57" s="267">
        <f>148000</f>
        <v>148000</v>
      </c>
      <c r="V57" s="267"/>
      <c r="W57" s="248"/>
      <c r="X57" s="248"/>
      <c r="Y57" s="248"/>
      <c r="Z57" s="248"/>
      <c r="AA57" s="248"/>
      <c r="AB57" s="248"/>
    </row>
    <row r="58" spans="1:28" ht="15.75" hidden="1">
      <c r="A58" s="251" t="s">
        <v>202</v>
      </c>
      <c r="B58" s="267"/>
      <c r="C58" s="267"/>
      <c r="D58" s="267"/>
      <c r="E58" s="267"/>
      <c r="F58" s="267"/>
      <c r="G58" s="267"/>
      <c r="H58" s="268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48"/>
      <c r="X58" s="248"/>
      <c r="Y58" s="248"/>
      <c r="Z58" s="248"/>
      <c r="AA58" s="248"/>
      <c r="AB58" s="248"/>
    </row>
    <row r="59" spans="1:28" ht="15.75">
      <c r="A59" s="251" t="s">
        <v>203</v>
      </c>
      <c r="B59" s="267"/>
      <c r="C59" s="267"/>
      <c r="D59" s="267">
        <f>40000</f>
        <v>40000</v>
      </c>
      <c r="E59" s="267"/>
      <c r="F59" s="267"/>
      <c r="G59" s="267"/>
      <c r="H59" s="268"/>
      <c r="I59" s="267"/>
      <c r="J59" s="267">
        <f>49000</f>
        <v>49000</v>
      </c>
      <c r="K59" s="267"/>
      <c r="L59" s="267"/>
      <c r="M59" s="267"/>
      <c r="N59" s="267"/>
      <c r="O59" s="267">
        <f>58000</f>
        <v>58000</v>
      </c>
      <c r="P59" s="267"/>
      <c r="Q59" s="267"/>
      <c r="R59" s="267"/>
      <c r="S59" s="267"/>
      <c r="T59" s="267">
        <f>68000</f>
        <v>68000</v>
      </c>
      <c r="U59" s="267"/>
      <c r="V59" s="267"/>
      <c r="W59" s="248"/>
      <c r="X59" s="248"/>
      <c r="Y59" s="248"/>
      <c r="Z59" s="248"/>
      <c r="AA59" s="248"/>
      <c r="AB59" s="248"/>
    </row>
    <row r="60" spans="1:28" ht="15.75" hidden="1">
      <c r="A60" s="251" t="s">
        <v>204</v>
      </c>
      <c r="B60" s="267"/>
      <c r="C60" s="267"/>
      <c r="D60" s="267"/>
      <c r="E60" s="267"/>
      <c r="F60" s="267"/>
      <c r="G60" s="267"/>
      <c r="H60" s="268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48"/>
      <c r="X60" s="248"/>
      <c r="Y60" s="248"/>
      <c r="Z60" s="248"/>
      <c r="AA60" s="248"/>
      <c r="AB60" s="248"/>
    </row>
    <row r="61" spans="1:28" ht="18.75" customHeight="1">
      <c r="A61" s="251" t="s">
        <v>205</v>
      </c>
      <c r="B61" s="267"/>
      <c r="C61" s="267"/>
      <c r="D61" s="267"/>
      <c r="E61" s="267"/>
      <c r="F61" s="267"/>
      <c r="G61" s="267"/>
      <c r="H61" s="268">
        <f>75000</f>
        <v>75000</v>
      </c>
      <c r="I61" s="267"/>
      <c r="J61" s="267"/>
      <c r="K61" s="267"/>
      <c r="L61" s="267"/>
      <c r="M61" s="267"/>
      <c r="N61" s="267"/>
      <c r="O61" s="267">
        <f>93000</f>
        <v>93000</v>
      </c>
      <c r="P61" s="267"/>
      <c r="Q61" s="267"/>
      <c r="R61" s="267"/>
      <c r="S61" s="267"/>
      <c r="T61" s="267"/>
      <c r="U61" s="267"/>
      <c r="V61" s="267"/>
      <c r="W61" s="248"/>
      <c r="X61" s="248"/>
      <c r="Y61" s="248"/>
      <c r="Z61" s="248"/>
      <c r="AA61" s="248"/>
      <c r="AB61" s="248"/>
    </row>
    <row r="62" spans="1:28" ht="15.75">
      <c r="A62" s="251" t="s">
        <v>206</v>
      </c>
      <c r="B62" s="267"/>
      <c r="C62" s="267"/>
      <c r="D62" s="267"/>
      <c r="E62" s="267"/>
      <c r="F62" s="267">
        <f>293000</f>
        <v>293000</v>
      </c>
      <c r="G62" s="267"/>
      <c r="H62" s="268">
        <f>312000</f>
        <v>312000</v>
      </c>
      <c r="I62" s="267">
        <f>950000</f>
        <v>950000</v>
      </c>
      <c r="J62" s="267">
        <f>332000</f>
        <v>332000</v>
      </c>
      <c r="K62" s="267"/>
      <c r="L62" s="267"/>
      <c r="M62" s="267"/>
      <c r="N62" s="267"/>
      <c r="O62" s="267"/>
      <c r="P62" s="267"/>
      <c r="Q62" s="267"/>
      <c r="R62" s="267"/>
      <c r="S62" s="267"/>
      <c r="T62" s="267">
        <f>451000</f>
        <v>451000</v>
      </c>
      <c r="U62" s="267"/>
      <c r="V62" s="267"/>
      <c r="W62" s="248"/>
      <c r="X62" s="248"/>
      <c r="Y62" s="248"/>
      <c r="Z62" s="248"/>
      <c r="AA62" s="248"/>
      <c r="AB62" s="248"/>
    </row>
    <row r="63" spans="1:28" ht="18.75" customHeight="1">
      <c r="A63" s="251" t="s">
        <v>405</v>
      </c>
      <c r="B63" s="267">
        <f aca="true" t="shared" si="15" ref="B63:V63">SUM(B19:B62)</f>
        <v>1366000</v>
      </c>
      <c r="C63" s="267">
        <f t="shared" si="15"/>
        <v>1487500</v>
      </c>
      <c r="D63" s="267">
        <f t="shared" si="15"/>
        <v>365000</v>
      </c>
      <c r="E63" s="267">
        <f t="shared" si="15"/>
        <v>599000</v>
      </c>
      <c r="F63" s="267">
        <f t="shared" si="15"/>
        <v>879500</v>
      </c>
      <c r="G63" s="267">
        <f t="shared" si="15"/>
        <v>708500</v>
      </c>
      <c r="H63" s="268">
        <f t="shared" si="15"/>
        <v>824000</v>
      </c>
      <c r="I63" s="267">
        <f t="shared" si="15"/>
        <v>11043250</v>
      </c>
      <c r="J63" s="267">
        <f t="shared" si="15"/>
        <v>594000</v>
      </c>
      <c r="K63" s="267">
        <f t="shared" si="15"/>
        <v>462500</v>
      </c>
      <c r="L63" s="267">
        <f t="shared" si="15"/>
        <v>298000</v>
      </c>
      <c r="M63" s="267">
        <f t="shared" si="15"/>
        <v>286250</v>
      </c>
      <c r="N63" s="267">
        <f t="shared" si="15"/>
        <v>467000</v>
      </c>
      <c r="O63" s="267">
        <f t="shared" si="15"/>
        <v>1669500</v>
      </c>
      <c r="P63" s="267">
        <f t="shared" si="15"/>
        <v>858000</v>
      </c>
      <c r="Q63" s="267">
        <f t="shared" si="15"/>
        <v>1100000</v>
      </c>
      <c r="R63" s="267">
        <f t="shared" si="15"/>
        <v>1177000</v>
      </c>
      <c r="S63" s="267">
        <f t="shared" si="15"/>
        <v>290000</v>
      </c>
      <c r="T63" s="267">
        <f t="shared" si="15"/>
        <v>858000</v>
      </c>
      <c r="U63" s="267">
        <f t="shared" si="15"/>
        <v>2076000</v>
      </c>
      <c r="V63" s="267">
        <f t="shared" si="15"/>
        <v>0</v>
      </c>
      <c r="W63" s="248"/>
      <c r="X63" s="248"/>
      <c r="Y63" s="248"/>
      <c r="Z63" s="248"/>
      <c r="AA63" s="248"/>
      <c r="AB63" s="248"/>
    </row>
    <row r="64" spans="1:28" ht="20.25">
      <c r="A64" s="276" t="s">
        <v>402</v>
      </c>
      <c r="B64" s="269">
        <f>317284+537350</f>
        <v>854634</v>
      </c>
      <c r="C64" s="269">
        <f>28159+16350+499825+37525</f>
        <v>581859</v>
      </c>
      <c r="D64" s="281">
        <f>502525+35200+221350+13275</f>
        <v>772350</v>
      </c>
      <c r="E64" s="281">
        <f>505200+30500+223275+10125+250000</f>
        <v>1019100</v>
      </c>
      <c r="F64" s="281">
        <f>510500+25700+230125+6825+250000</f>
        <v>1023150</v>
      </c>
      <c r="G64" s="281">
        <f>515700+20800+231825+3450+250000</f>
        <v>1021775</v>
      </c>
      <c r="H64" s="282">
        <f>520800+15800+233450+250000</f>
        <v>1020050</v>
      </c>
      <c r="I64" s="281">
        <f>530800+10650+250000</f>
        <v>791450</v>
      </c>
      <c r="J64" s="281">
        <f>535650+5400</f>
        <v>541050</v>
      </c>
      <c r="K64" s="281">
        <f>545400</f>
        <v>545400</v>
      </c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48"/>
      <c r="X64" s="248"/>
      <c r="Y64" s="248"/>
      <c r="Z64" s="248"/>
      <c r="AA64" s="248"/>
      <c r="AB64" s="248"/>
    </row>
    <row r="65" spans="1:28" ht="20.25">
      <c r="A65" s="276" t="s">
        <v>406</v>
      </c>
      <c r="B65" s="252">
        <f aca="true" t="shared" si="16" ref="B65:V65">B63+B64</f>
        <v>2220634</v>
      </c>
      <c r="C65" s="252">
        <f t="shared" si="16"/>
        <v>2069359</v>
      </c>
      <c r="D65" s="281">
        <f t="shared" si="16"/>
        <v>1137350</v>
      </c>
      <c r="E65" s="281">
        <f t="shared" si="16"/>
        <v>1618100</v>
      </c>
      <c r="F65" s="281">
        <f t="shared" si="16"/>
        <v>1902650</v>
      </c>
      <c r="G65" s="281">
        <f t="shared" si="16"/>
        <v>1730275</v>
      </c>
      <c r="H65" s="282">
        <f t="shared" si="16"/>
        <v>1844050</v>
      </c>
      <c r="I65" s="281">
        <f t="shared" si="16"/>
        <v>11834700</v>
      </c>
      <c r="J65" s="281">
        <f t="shared" si="16"/>
        <v>1135050</v>
      </c>
      <c r="K65" s="281">
        <f t="shared" si="16"/>
        <v>1007900</v>
      </c>
      <c r="L65" s="281">
        <f t="shared" si="16"/>
        <v>298000</v>
      </c>
      <c r="M65" s="281">
        <f t="shared" si="16"/>
        <v>286250</v>
      </c>
      <c r="N65" s="281">
        <f t="shared" si="16"/>
        <v>467000</v>
      </c>
      <c r="O65" s="281">
        <f t="shared" si="16"/>
        <v>1669500</v>
      </c>
      <c r="P65" s="281">
        <f t="shared" si="16"/>
        <v>858000</v>
      </c>
      <c r="Q65" s="281">
        <f t="shared" si="16"/>
        <v>1100000</v>
      </c>
      <c r="R65" s="281">
        <f t="shared" si="16"/>
        <v>1177000</v>
      </c>
      <c r="S65" s="281">
        <f t="shared" si="16"/>
        <v>290000</v>
      </c>
      <c r="T65" s="281">
        <f t="shared" si="16"/>
        <v>858000</v>
      </c>
      <c r="U65" s="281">
        <f t="shared" si="16"/>
        <v>2076000</v>
      </c>
      <c r="V65" s="281">
        <f t="shared" si="16"/>
        <v>0</v>
      </c>
      <c r="W65" s="248"/>
      <c r="X65" s="248"/>
      <c r="Y65" s="248"/>
      <c r="Z65" s="248"/>
      <c r="AA65" s="248"/>
      <c r="AB65" s="248"/>
    </row>
    <row r="66" spans="1:28" ht="21" thickBot="1">
      <c r="A66" s="258" t="s">
        <v>207</v>
      </c>
      <c r="B66" s="253">
        <f aca="true" t="shared" si="17" ref="B66:V66">B17-B65</f>
        <v>4583</v>
      </c>
      <c r="C66" s="253">
        <f t="shared" si="17"/>
        <v>318982</v>
      </c>
      <c r="D66" s="287">
        <f t="shared" si="17"/>
        <v>670772</v>
      </c>
      <c r="E66" s="287">
        <f t="shared" si="17"/>
        <v>562192</v>
      </c>
      <c r="F66" s="287">
        <f t="shared" si="17"/>
        <v>568692</v>
      </c>
      <c r="G66" s="287">
        <f t="shared" si="17"/>
        <v>344437</v>
      </c>
      <c r="H66" s="288">
        <f t="shared" si="17"/>
        <v>246732</v>
      </c>
      <c r="I66" s="287">
        <f t="shared" si="17"/>
        <v>256082</v>
      </c>
      <c r="J66" s="287">
        <f t="shared" si="17"/>
        <v>265842</v>
      </c>
      <c r="K66" s="287">
        <f t="shared" si="17"/>
        <v>245327</v>
      </c>
      <c r="L66" s="287">
        <f t="shared" si="17"/>
        <v>947327</v>
      </c>
      <c r="M66" s="287">
        <f t="shared" si="17"/>
        <v>1661077</v>
      </c>
      <c r="N66" s="287">
        <f t="shared" si="17"/>
        <v>2194077</v>
      </c>
      <c r="O66" s="287">
        <f t="shared" si="17"/>
        <v>1524577</v>
      </c>
      <c r="P66" s="287">
        <f t="shared" si="17"/>
        <v>1666577</v>
      </c>
      <c r="Q66" s="287">
        <f t="shared" si="17"/>
        <v>1566577</v>
      </c>
      <c r="R66" s="287">
        <f t="shared" si="17"/>
        <v>1389577</v>
      </c>
      <c r="S66" s="287">
        <f t="shared" si="17"/>
        <v>2099577</v>
      </c>
      <c r="T66" s="287">
        <f t="shared" si="17"/>
        <v>2241577</v>
      </c>
      <c r="U66" s="287">
        <f t="shared" si="17"/>
        <v>1165577</v>
      </c>
      <c r="V66" s="287">
        <f t="shared" si="17"/>
        <v>2165577</v>
      </c>
      <c r="W66" s="248"/>
      <c r="X66" s="248"/>
      <c r="Y66" s="248"/>
      <c r="Z66" s="248"/>
      <c r="AA66" s="248"/>
      <c r="AB66" s="248"/>
    </row>
    <row r="67" spans="1:28" ht="18.75" thickTop="1">
      <c r="A67" s="261" t="s">
        <v>208</v>
      </c>
      <c r="B67" s="267"/>
      <c r="C67" s="267"/>
      <c r="D67" s="267"/>
      <c r="E67" s="267"/>
      <c r="F67" s="267"/>
      <c r="G67" s="267"/>
      <c r="H67" s="268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48"/>
      <c r="X67" s="248"/>
      <c r="Y67" s="248"/>
      <c r="Z67" s="248"/>
      <c r="AA67" s="248"/>
      <c r="AB67" s="248"/>
    </row>
    <row r="68" spans="1:28" ht="15.75">
      <c r="A68" s="265" t="s">
        <v>407</v>
      </c>
      <c r="B68" s="266">
        <f aca="true" t="shared" si="18" ref="B68:V68">B7+B12</f>
        <v>601676</v>
      </c>
      <c r="C68" s="266">
        <f t="shared" si="18"/>
        <v>977744</v>
      </c>
      <c r="D68" s="138">
        <f t="shared" si="18"/>
        <v>932978</v>
      </c>
      <c r="E68" s="138">
        <f t="shared" si="18"/>
        <v>1136235</v>
      </c>
      <c r="F68" s="138">
        <f t="shared" si="18"/>
        <v>1438087</v>
      </c>
      <c r="G68" s="138">
        <f t="shared" si="18"/>
        <v>1134485</v>
      </c>
      <c r="H68" s="139">
        <f t="shared" si="18"/>
        <v>1315985</v>
      </c>
      <c r="I68" s="138">
        <f t="shared" si="18"/>
        <v>8939451</v>
      </c>
      <c r="J68" s="138">
        <f t="shared" si="18"/>
        <v>862396</v>
      </c>
      <c r="K68" s="138">
        <f t="shared" si="18"/>
        <v>745565</v>
      </c>
      <c r="L68" s="138">
        <f t="shared" si="18"/>
        <v>755000</v>
      </c>
      <c r="M68" s="138">
        <f t="shared" si="18"/>
        <v>755000</v>
      </c>
      <c r="N68" s="138">
        <f t="shared" si="18"/>
        <v>755000</v>
      </c>
      <c r="O68" s="138">
        <f t="shared" si="18"/>
        <v>755000</v>
      </c>
      <c r="P68" s="138">
        <f t="shared" si="18"/>
        <v>755000</v>
      </c>
      <c r="Q68" s="138">
        <f t="shared" si="18"/>
        <v>755000</v>
      </c>
      <c r="R68" s="138">
        <f t="shared" si="18"/>
        <v>755000</v>
      </c>
      <c r="S68" s="138">
        <f t="shared" si="18"/>
        <v>755000</v>
      </c>
      <c r="T68" s="138">
        <f t="shared" si="18"/>
        <v>755000</v>
      </c>
      <c r="U68" s="138">
        <f t="shared" si="18"/>
        <v>755000</v>
      </c>
      <c r="V68" s="138">
        <f t="shared" si="18"/>
        <v>755000</v>
      </c>
      <c r="W68" s="248"/>
      <c r="X68" s="248"/>
      <c r="Y68" s="248"/>
      <c r="Z68" s="248"/>
      <c r="AA68" s="248"/>
      <c r="AB68" s="248"/>
    </row>
    <row r="69" spans="1:28" ht="15.75">
      <c r="A69" s="265" t="s">
        <v>408</v>
      </c>
      <c r="B69" s="266">
        <f aca="true" t="shared" si="19" ref="B69:V69">B8+B13</f>
        <v>126022</v>
      </c>
      <c r="C69" s="266">
        <f t="shared" si="19"/>
        <v>210305</v>
      </c>
      <c r="D69" s="138">
        <f t="shared" si="19"/>
        <v>200547</v>
      </c>
      <c r="E69" s="138">
        <f t="shared" si="19"/>
        <v>244245</v>
      </c>
      <c r="F69" s="138">
        <f t="shared" si="19"/>
        <v>309105</v>
      </c>
      <c r="G69" s="138">
        <f t="shared" si="19"/>
        <v>243845</v>
      </c>
      <c r="H69" s="139">
        <f t="shared" si="19"/>
        <v>282866</v>
      </c>
      <c r="I69" s="138">
        <f t="shared" si="19"/>
        <v>1923923</v>
      </c>
      <c r="J69" s="138">
        <f t="shared" si="19"/>
        <v>185528</v>
      </c>
      <c r="K69" s="138">
        <f t="shared" si="19"/>
        <v>160410</v>
      </c>
      <c r="L69" s="138">
        <f t="shared" si="19"/>
        <v>162500</v>
      </c>
      <c r="M69" s="138">
        <f t="shared" si="19"/>
        <v>162500</v>
      </c>
      <c r="N69" s="138">
        <f t="shared" si="19"/>
        <v>162500</v>
      </c>
      <c r="O69" s="138">
        <f t="shared" si="19"/>
        <v>162500</v>
      </c>
      <c r="P69" s="138">
        <f t="shared" si="19"/>
        <v>162500</v>
      </c>
      <c r="Q69" s="138">
        <f t="shared" si="19"/>
        <v>162500</v>
      </c>
      <c r="R69" s="138">
        <f t="shared" si="19"/>
        <v>162500</v>
      </c>
      <c r="S69" s="138">
        <f t="shared" si="19"/>
        <v>162500</v>
      </c>
      <c r="T69" s="138">
        <f t="shared" si="19"/>
        <v>162500</v>
      </c>
      <c r="U69" s="138">
        <f t="shared" si="19"/>
        <v>162500</v>
      </c>
      <c r="V69" s="138">
        <f t="shared" si="19"/>
        <v>162500</v>
      </c>
      <c r="W69" s="248"/>
      <c r="X69" s="248"/>
      <c r="Y69" s="248"/>
      <c r="Z69" s="248"/>
      <c r="AA69" s="248"/>
      <c r="AB69" s="248"/>
    </row>
    <row r="70" spans="1:28" ht="15.75">
      <c r="A70" s="265" t="s">
        <v>409</v>
      </c>
      <c r="B70" s="266">
        <f aca="true" t="shared" si="20" ref="B70:V70">B9+B14</f>
        <v>68952</v>
      </c>
      <c r="C70" s="266">
        <f t="shared" si="20"/>
        <v>110709</v>
      </c>
      <c r="D70" s="138">
        <f t="shared" si="20"/>
        <v>105615</v>
      </c>
      <c r="E70" s="138">
        <f t="shared" si="20"/>
        <v>129040</v>
      </c>
      <c r="F70" s="138">
        <f t="shared" si="20"/>
        <v>161958</v>
      </c>
      <c r="G70" s="138">
        <f t="shared" si="20"/>
        <v>127690</v>
      </c>
      <c r="H70" s="139">
        <f t="shared" si="20"/>
        <v>147494</v>
      </c>
      <c r="I70" s="138">
        <f t="shared" si="20"/>
        <v>980676</v>
      </c>
      <c r="J70" s="138">
        <f t="shared" si="20"/>
        <v>96886</v>
      </c>
      <c r="K70" s="138">
        <f t="shared" si="20"/>
        <v>81410</v>
      </c>
      <c r="L70" s="138">
        <f t="shared" si="20"/>
        <v>82500</v>
      </c>
      <c r="M70" s="138">
        <f t="shared" si="20"/>
        <v>82500</v>
      </c>
      <c r="N70" s="138">
        <f t="shared" si="20"/>
        <v>82500</v>
      </c>
      <c r="O70" s="138">
        <f t="shared" si="20"/>
        <v>82500</v>
      </c>
      <c r="P70" s="138">
        <f t="shared" si="20"/>
        <v>82500</v>
      </c>
      <c r="Q70" s="138">
        <f t="shared" si="20"/>
        <v>82500</v>
      </c>
      <c r="R70" s="138">
        <f t="shared" si="20"/>
        <v>82500</v>
      </c>
      <c r="S70" s="138">
        <f t="shared" si="20"/>
        <v>82500</v>
      </c>
      <c r="T70" s="138">
        <f t="shared" si="20"/>
        <v>82500</v>
      </c>
      <c r="U70" s="138">
        <f t="shared" si="20"/>
        <v>82500</v>
      </c>
      <c r="V70" s="138">
        <f t="shared" si="20"/>
        <v>82500</v>
      </c>
      <c r="W70" s="248"/>
      <c r="X70" s="248"/>
      <c r="Y70" s="248"/>
      <c r="Z70" s="248"/>
      <c r="AA70" s="248"/>
      <c r="AB70" s="248"/>
    </row>
    <row r="71" spans="1:28" ht="20.25">
      <c r="A71" s="274"/>
      <c r="B71" s="275">
        <f>SUM(B68:B70)</f>
        <v>796650</v>
      </c>
      <c r="C71" s="275">
        <f aca="true" t="shared" si="21" ref="C71:V71">SUM(C68:C70)</f>
        <v>1298758</v>
      </c>
      <c r="D71" s="285">
        <f t="shared" si="21"/>
        <v>1239140</v>
      </c>
      <c r="E71" s="285">
        <f t="shared" si="21"/>
        <v>1509520</v>
      </c>
      <c r="F71" s="285">
        <f t="shared" si="21"/>
        <v>1909150</v>
      </c>
      <c r="G71" s="285">
        <f t="shared" si="21"/>
        <v>1506020</v>
      </c>
      <c r="H71" s="286">
        <f t="shared" si="21"/>
        <v>1746345</v>
      </c>
      <c r="I71" s="285">
        <f t="shared" si="21"/>
        <v>11844050</v>
      </c>
      <c r="J71" s="285">
        <f t="shared" si="21"/>
        <v>1144810</v>
      </c>
      <c r="K71" s="285">
        <f t="shared" si="21"/>
        <v>987385</v>
      </c>
      <c r="L71" s="285">
        <f t="shared" si="21"/>
        <v>1000000</v>
      </c>
      <c r="M71" s="285">
        <f t="shared" si="21"/>
        <v>1000000</v>
      </c>
      <c r="N71" s="285">
        <f t="shared" si="21"/>
        <v>1000000</v>
      </c>
      <c r="O71" s="285">
        <f t="shared" si="21"/>
        <v>1000000</v>
      </c>
      <c r="P71" s="285">
        <f t="shared" si="21"/>
        <v>1000000</v>
      </c>
      <c r="Q71" s="285">
        <f t="shared" si="21"/>
        <v>1000000</v>
      </c>
      <c r="R71" s="285">
        <f t="shared" si="21"/>
        <v>1000000</v>
      </c>
      <c r="S71" s="285">
        <f t="shared" si="21"/>
        <v>1000000</v>
      </c>
      <c r="T71" s="285">
        <f t="shared" si="21"/>
        <v>1000000</v>
      </c>
      <c r="U71" s="285">
        <f t="shared" si="21"/>
        <v>1000000</v>
      </c>
      <c r="V71" s="285">
        <f t="shared" si="21"/>
        <v>1000000</v>
      </c>
      <c r="W71" s="248"/>
      <c r="X71" s="248"/>
      <c r="Y71" s="248"/>
      <c r="Z71" s="248"/>
      <c r="AA71" s="248"/>
      <c r="AB71" s="248"/>
    </row>
    <row r="72" spans="2:28" ht="15.75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</row>
    <row r="73" spans="2:28" ht="15.7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</row>
    <row r="74" spans="2:28" ht="15.75"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</row>
    <row r="75" spans="2:28" ht="15.75"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</row>
    <row r="76" spans="2:28" ht="15.75"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</row>
    <row r="77" spans="2:28" ht="15.75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</row>
    <row r="78" spans="2:28" ht="15.75"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</row>
    <row r="79" spans="2:28" ht="15.75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</row>
    <row r="80" spans="2:28" ht="15.75"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</row>
    <row r="81" spans="2:28" ht="15.75"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</row>
    <row r="82" spans="2:28" ht="15.75"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</row>
    <row r="83" spans="2:28" ht="15.75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</row>
    <row r="84" spans="2:28" ht="15.75"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</row>
    <row r="85" spans="2:28" ht="15.75"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</row>
    <row r="86" spans="2:28" ht="15.75"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</row>
    <row r="87" spans="2:28" ht="15.75"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</row>
    <row r="88" spans="2:28" ht="15.75"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</row>
    <row r="89" spans="2:28" ht="15.75"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</row>
    <row r="90" spans="2:28" ht="15.75"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</row>
    <row r="91" spans="2:28" ht="15.75"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</row>
    <row r="92" spans="2:28" ht="15.75"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</row>
    <row r="93" spans="2:28" ht="15.75"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</row>
    <row r="94" spans="2:28" ht="15.75"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</row>
    <row r="95" spans="2:28" ht="15.75"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</row>
    <row r="96" spans="2:28" ht="15.75"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</row>
    <row r="97" spans="2:28" ht="15.75"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</row>
    <row r="98" spans="2:28" ht="15.75"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</row>
    <row r="99" spans="2:28" ht="15.75"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</row>
    <row r="100" spans="2:28" ht="15.75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</row>
    <row r="101" spans="2:28" ht="15.75"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</row>
    <row r="102" spans="2:28" ht="15.75"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</row>
    <row r="103" spans="2:28" ht="15.75"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</row>
    <row r="104" spans="2:28" ht="15.75"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</row>
    <row r="105" spans="2:28" ht="15.75"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</row>
    <row r="106" spans="2:28" ht="15.75"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</row>
    <row r="107" spans="2:28" ht="15.75"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</row>
    <row r="108" spans="2:28" ht="15.75"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</row>
    <row r="109" spans="2:28" ht="15.75"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</row>
    <row r="110" spans="2:28" ht="15.75"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</row>
    <row r="111" spans="2:28" ht="15.75"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</row>
    <row r="112" spans="2:28" ht="15.75"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</row>
    <row r="113" spans="2:28" ht="15.75"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</row>
    <row r="114" spans="2:28" ht="15.75"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</row>
    <row r="115" spans="2:28" ht="15.75"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</row>
    <row r="116" spans="2:28" ht="15.75"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</row>
    <row r="117" spans="2:28" ht="15.75"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</row>
    <row r="118" spans="2:28" ht="15.75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</row>
    <row r="119" spans="2:28" ht="15.75"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</row>
    <row r="120" spans="2:28" ht="15.75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</row>
    <row r="121" spans="2:28" ht="15.75"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</row>
    <row r="122" spans="2:28" ht="15.75"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</row>
    <row r="123" spans="2:28" ht="15.75"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</row>
    <row r="124" spans="2:28" ht="15.75"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</row>
    <row r="125" spans="2:28" ht="15.75"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</row>
    <row r="126" spans="2:28" ht="15.75"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</row>
    <row r="127" spans="2:28" ht="15.75"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</row>
    <row r="128" spans="2:28" ht="15.75"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</row>
    <row r="129" spans="2:28" ht="15.75"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</row>
    <row r="130" spans="2:28" ht="15.75"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</row>
    <row r="131" spans="2:28" ht="15.75"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</row>
    <row r="132" spans="2:28" ht="15.75"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</row>
    <row r="133" spans="2:28" ht="15.75"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</row>
    <row r="134" spans="2:28" ht="15.75"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</row>
    <row r="135" spans="2:28" ht="15.75"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</row>
    <row r="136" spans="2:28" ht="15.75"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</row>
    <row r="137" spans="2:28" ht="15.75"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</row>
    <row r="138" spans="2:28" ht="15.75"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</row>
    <row r="139" spans="2:28" ht="15.75"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</row>
    <row r="140" spans="2:28" ht="15.75"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  <c r="AA140" s="248"/>
      <c r="AB140" s="248"/>
    </row>
    <row r="141" spans="2:28" ht="15.75"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</row>
    <row r="142" spans="2:28" ht="15.75"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</row>
    <row r="143" spans="2:28" ht="15.75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</row>
    <row r="144" spans="2:28" ht="15.75"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</row>
    <row r="145" spans="2:28" ht="15.75"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</row>
    <row r="146" spans="2:28" ht="15.75"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</row>
    <row r="147" spans="2:28" ht="15.75"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</row>
    <row r="148" spans="2:28" ht="15.75"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</row>
    <row r="149" spans="2:28" ht="15.75"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</row>
    <row r="150" spans="2:28" ht="15.75"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</row>
    <row r="151" spans="2:28" ht="15.75"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</row>
    <row r="152" spans="2:28" ht="15.75"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</row>
    <row r="153" spans="2:28" ht="15.75"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</row>
    <row r="154" spans="2:28" ht="15.75"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</row>
    <row r="155" spans="2:28" ht="15.75"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</row>
    <row r="156" spans="2:28" ht="15.75"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</row>
    <row r="157" spans="2:28" ht="15.75"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</row>
    <row r="158" spans="2:28" ht="15.75"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</row>
    <row r="159" spans="2:28" ht="15.75"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</row>
    <row r="160" spans="2:28" ht="15.75"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</row>
    <row r="161" spans="2:28" ht="15.75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</row>
    <row r="162" spans="2:28" ht="15.75"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  <c r="AB162" s="248"/>
    </row>
    <row r="163" spans="2:28" ht="15.75"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</row>
    <row r="164" spans="2:28" ht="15.75"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  <c r="AA164" s="248"/>
      <c r="AB164" s="248"/>
    </row>
    <row r="165" spans="2:28" ht="15.75"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</row>
    <row r="166" spans="2:28" ht="15.75"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  <c r="AA166" s="248"/>
      <c r="AB166" s="248"/>
    </row>
    <row r="167" spans="2:28" ht="15.75"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</row>
    <row r="168" spans="2:28" ht="15.75"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</row>
    <row r="169" spans="2:28" ht="15.75"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8"/>
      <c r="AB169" s="248"/>
    </row>
    <row r="170" spans="2:28" ht="15.75"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</row>
    <row r="171" spans="2:28" ht="15.75"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</row>
    <row r="172" spans="2:28" ht="15.75"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  <c r="AA172" s="248"/>
      <c r="AB172" s="248"/>
    </row>
    <row r="173" spans="2:28" ht="15.75"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  <c r="T173" s="248"/>
      <c r="U173" s="248"/>
      <c r="V173" s="248"/>
      <c r="W173" s="248"/>
      <c r="X173" s="248"/>
      <c r="Y173" s="248"/>
      <c r="Z173" s="248"/>
      <c r="AA173" s="248"/>
      <c r="AB173" s="248"/>
    </row>
    <row r="174" spans="2:28" ht="15.75"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</row>
    <row r="175" spans="2:28" ht="15.75">
      <c r="B175" s="248"/>
      <c r="C175" s="248"/>
      <c r="D175" s="248"/>
      <c r="E175" s="248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  <c r="AA175" s="248"/>
      <c r="AB175" s="248"/>
    </row>
    <row r="176" spans="2:28" ht="15.75">
      <c r="B176" s="248"/>
      <c r="C176" s="248"/>
      <c r="D176" s="248"/>
      <c r="E176" s="248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48"/>
      <c r="AA176" s="248"/>
      <c r="AB176" s="248"/>
    </row>
    <row r="177" spans="2:28" ht="15.75"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  <c r="AA177" s="248"/>
      <c r="AB177" s="248"/>
    </row>
    <row r="178" spans="2:28" ht="15.75"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</row>
    <row r="179" spans="2:28" ht="15.75"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248"/>
    </row>
    <row r="180" spans="2:28" ht="15.75"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248"/>
    </row>
    <row r="181" spans="2:28" ht="15.75"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  <c r="X181" s="248"/>
      <c r="Y181" s="248"/>
      <c r="Z181" s="248"/>
      <c r="AA181" s="248"/>
      <c r="AB181" s="248"/>
    </row>
    <row r="182" spans="2:28" ht="15.75">
      <c r="B182" s="248"/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48"/>
      <c r="T182" s="248"/>
      <c r="U182" s="248"/>
      <c r="V182" s="248"/>
      <c r="W182" s="248"/>
      <c r="X182" s="248"/>
      <c r="Y182" s="248"/>
      <c r="Z182" s="248"/>
      <c r="AA182" s="248"/>
      <c r="AB182" s="248"/>
    </row>
    <row r="183" spans="2:28" ht="15.75"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8"/>
      <c r="Z183" s="248"/>
      <c r="AA183" s="248"/>
      <c r="AB183" s="248"/>
    </row>
    <row r="184" spans="2:28" ht="15.75"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248"/>
      <c r="U184" s="248"/>
      <c r="V184" s="248"/>
      <c r="W184" s="248"/>
      <c r="X184" s="248"/>
      <c r="Y184" s="248"/>
      <c r="Z184" s="248"/>
      <c r="AA184" s="248"/>
      <c r="AB184" s="248"/>
    </row>
    <row r="185" spans="2:28" ht="15.75"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</row>
    <row r="186" spans="2:28" ht="15.75"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48"/>
      <c r="AA186" s="248"/>
      <c r="AB186" s="248"/>
    </row>
    <row r="187" spans="2:28" ht="15.75">
      <c r="B187" s="248"/>
      <c r="C187" s="248"/>
      <c r="D187" s="248"/>
      <c r="E187" s="248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  <c r="Q187" s="248"/>
      <c r="R187" s="248"/>
      <c r="S187" s="248"/>
      <c r="T187" s="248"/>
      <c r="U187" s="248"/>
      <c r="V187" s="248"/>
      <c r="W187" s="248"/>
      <c r="X187" s="248"/>
      <c r="Y187" s="248"/>
      <c r="Z187" s="248"/>
      <c r="AA187" s="248"/>
      <c r="AB187" s="248"/>
    </row>
    <row r="188" spans="2:28" ht="15.75">
      <c r="B188" s="248"/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M188" s="248"/>
      <c r="N188" s="248"/>
      <c r="O188" s="248"/>
      <c r="P188" s="248"/>
      <c r="Q188" s="248"/>
      <c r="R188" s="248"/>
      <c r="S188" s="248"/>
      <c r="T188" s="248"/>
      <c r="U188" s="248"/>
      <c r="V188" s="248"/>
      <c r="W188" s="248"/>
      <c r="X188" s="248"/>
      <c r="Y188" s="248"/>
      <c r="Z188" s="248"/>
      <c r="AA188" s="248"/>
      <c r="AB188" s="248"/>
    </row>
    <row r="189" spans="2:28" ht="15.75"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  <c r="AA189" s="248"/>
      <c r="AB189" s="248"/>
    </row>
    <row r="190" spans="2:28" ht="15.75"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  <c r="AA190" s="248"/>
      <c r="AB190" s="248"/>
    </row>
    <row r="191" spans="2:28" ht="15.75"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8"/>
      <c r="Z191" s="248"/>
      <c r="AA191" s="248"/>
      <c r="AB191" s="248"/>
    </row>
    <row r="192" spans="2:28" ht="15.75">
      <c r="B192" s="248"/>
      <c r="C192" s="248"/>
      <c r="D192" s="248"/>
      <c r="E192" s="248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8"/>
      <c r="AB192" s="248"/>
    </row>
    <row r="193" spans="2:28" ht="15.75">
      <c r="B193" s="248"/>
      <c r="C193" s="248"/>
      <c r="D193" s="248"/>
      <c r="E193" s="248"/>
      <c r="F193" s="248"/>
      <c r="G193" s="248"/>
      <c r="H193" s="248"/>
      <c r="I193" s="248"/>
      <c r="J193" s="248"/>
      <c r="K193" s="248"/>
      <c r="L193" s="248"/>
      <c r="M193" s="248"/>
      <c r="N193" s="248"/>
      <c r="O193" s="248"/>
      <c r="P193" s="248"/>
      <c r="Q193" s="248"/>
      <c r="R193" s="248"/>
      <c r="S193" s="248"/>
      <c r="T193" s="248"/>
      <c r="U193" s="248"/>
      <c r="V193" s="248"/>
      <c r="W193" s="248"/>
      <c r="X193" s="248"/>
      <c r="Y193" s="248"/>
      <c r="Z193" s="248"/>
      <c r="AA193" s="248"/>
      <c r="AB193" s="248"/>
    </row>
    <row r="194" spans="2:28" ht="15.75">
      <c r="B194" s="248"/>
      <c r="C194" s="248"/>
      <c r="D194" s="248"/>
      <c r="E194" s="248"/>
      <c r="F194" s="248"/>
      <c r="G194" s="248"/>
      <c r="H194" s="248"/>
      <c r="I194" s="248"/>
      <c r="J194" s="248"/>
      <c r="K194" s="248"/>
      <c r="L194" s="248"/>
      <c r="M194" s="248"/>
      <c r="N194" s="248"/>
      <c r="O194" s="248"/>
      <c r="P194" s="248"/>
      <c r="Q194" s="248"/>
      <c r="R194" s="248"/>
      <c r="S194" s="248"/>
      <c r="T194" s="248"/>
      <c r="U194" s="248"/>
      <c r="V194" s="248"/>
      <c r="W194" s="248"/>
      <c r="X194" s="248"/>
      <c r="Y194" s="248"/>
      <c r="Z194" s="248"/>
      <c r="AA194" s="248"/>
      <c r="AB194" s="248"/>
    </row>
    <row r="195" spans="2:28" ht="15.75"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8"/>
      <c r="AB195" s="248"/>
    </row>
    <row r="196" spans="2:28" ht="15.75">
      <c r="B196" s="248"/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  <c r="M196" s="248"/>
      <c r="N196" s="248"/>
      <c r="O196" s="248"/>
      <c r="P196" s="248"/>
      <c r="Q196" s="248"/>
      <c r="R196" s="248"/>
      <c r="S196" s="248"/>
      <c r="T196" s="248"/>
      <c r="U196" s="248"/>
      <c r="V196" s="248"/>
      <c r="W196" s="248"/>
      <c r="X196" s="248"/>
      <c r="Y196" s="248"/>
      <c r="Z196" s="248"/>
      <c r="AA196" s="248"/>
      <c r="AB196" s="248"/>
    </row>
    <row r="197" spans="2:28" ht="15.75"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  <c r="X197" s="248"/>
      <c r="Y197" s="248"/>
      <c r="Z197" s="248"/>
      <c r="AA197" s="248"/>
      <c r="AB197" s="248"/>
    </row>
    <row r="198" spans="2:28" ht="15.75">
      <c r="B198" s="248"/>
      <c r="C198" s="248"/>
      <c r="D198" s="248"/>
      <c r="E198" s="248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8"/>
      <c r="Z198" s="248"/>
      <c r="AA198" s="248"/>
      <c r="AB198" s="248"/>
    </row>
    <row r="199" spans="2:28" ht="15.75">
      <c r="B199" s="248"/>
      <c r="C199" s="248"/>
      <c r="D199" s="248"/>
      <c r="E199" s="248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/>
      <c r="P199" s="248"/>
      <c r="Q199" s="248"/>
      <c r="R199" s="248"/>
      <c r="S199" s="248"/>
      <c r="T199" s="248"/>
      <c r="U199" s="248"/>
      <c r="V199" s="248"/>
      <c r="W199" s="248"/>
      <c r="X199" s="248"/>
      <c r="Y199" s="248"/>
      <c r="Z199" s="248"/>
      <c r="AA199" s="248"/>
      <c r="AB199" s="248"/>
    </row>
    <row r="200" spans="2:28" ht="15.75"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  <c r="AA200" s="248"/>
      <c r="AB200" s="248"/>
    </row>
    <row r="201" spans="2:28" ht="15.75"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  <c r="AA201" s="248"/>
      <c r="AB201" s="248"/>
    </row>
    <row r="202" spans="2:28" ht="15.75"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M202" s="248"/>
      <c r="N202" s="248"/>
      <c r="O202" s="248"/>
      <c r="P202" s="248"/>
      <c r="Q202" s="248"/>
      <c r="R202" s="248"/>
      <c r="S202" s="248"/>
      <c r="T202" s="248"/>
      <c r="U202" s="248"/>
      <c r="V202" s="248"/>
      <c r="W202" s="248"/>
      <c r="X202" s="248"/>
      <c r="Y202" s="248"/>
      <c r="Z202" s="248"/>
      <c r="AA202" s="248"/>
      <c r="AB202" s="248"/>
    </row>
    <row r="203" spans="2:28" ht="15.75"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  <c r="P203" s="248"/>
      <c r="Q203" s="248"/>
      <c r="R203" s="248"/>
      <c r="S203" s="248"/>
      <c r="T203" s="248"/>
      <c r="U203" s="248"/>
      <c r="V203" s="248"/>
      <c r="W203" s="248"/>
      <c r="X203" s="248"/>
      <c r="Y203" s="248"/>
      <c r="Z203" s="248"/>
      <c r="AA203" s="248"/>
      <c r="AB203" s="248"/>
    </row>
    <row r="204" spans="2:28" ht="15.75"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248"/>
    </row>
    <row r="205" spans="2:28" ht="15.75"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  <c r="AA205" s="248"/>
      <c r="AB205" s="248"/>
    </row>
    <row r="206" spans="2:28" ht="15.75">
      <c r="B206" s="248"/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  <c r="P206" s="248"/>
      <c r="Q206" s="248"/>
      <c r="R206" s="248"/>
      <c r="S206" s="248"/>
      <c r="T206" s="248"/>
      <c r="U206" s="248"/>
      <c r="V206" s="248"/>
      <c r="W206" s="248"/>
      <c r="X206" s="248"/>
      <c r="Y206" s="248"/>
      <c r="Z206" s="248"/>
      <c r="AA206" s="248"/>
      <c r="AB206" s="248"/>
    </row>
    <row r="207" spans="2:28" ht="15.75">
      <c r="B207" s="248"/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248"/>
      <c r="R207" s="248"/>
      <c r="S207" s="248"/>
      <c r="T207" s="248"/>
      <c r="U207" s="248"/>
      <c r="V207" s="248"/>
      <c r="W207" s="248"/>
      <c r="X207" s="248"/>
      <c r="Y207" s="248"/>
      <c r="Z207" s="248"/>
      <c r="AA207" s="248"/>
      <c r="AB207" s="248"/>
    </row>
    <row r="208" spans="2:28" ht="15.75">
      <c r="B208" s="248"/>
      <c r="C208" s="248"/>
      <c r="D208" s="248"/>
      <c r="E208" s="248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  <c r="P208" s="248"/>
      <c r="Q208" s="248"/>
      <c r="R208" s="248"/>
      <c r="S208" s="248"/>
      <c r="T208" s="248"/>
      <c r="U208" s="248"/>
      <c r="V208" s="248"/>
      <c r="W208" s="248"/>
      <c r="X208" s="248"/>
      <c r="Y208" s="248"/>
      <c r="Z208" s="248"/>
      <c r="AA208" s="248"/>
      <c r="AB208" s="248"/>
    </row>
    <row r="209" spans="2:28" ht="15.75">
      <c r="B209" s="248"/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  <c r="P209" s="248"/>
      <c r="Q209" s="248"/>
      <c r="R209" s="248"/>
      <c r="S209" s="248"/>
      <c r="T209" s="248"/>
      <c r="U209" s="248"/>
      <c r="V209" s="248"/>
      <c r="W209" s="248"/>
      <c r="X209" s="248"/>
      <c r="Y209" s="248"/>
      <c r="Z209" s="248"/>
      <c r="AA209" s="248"/>
      <c r="AB209" s="248"/>
    </row>
    <row r="210" spans="2:28" ht="15.75">
      <c r="B210" s="248"/>
      <c r="C210" s="248"/>
      <c r="D210" s="248"/>
      <c r="E210" s="248"/>
      <c r="F210" s="248"/>
      <c r="G210" s="248"/>
      <c r="H210" s="248"/>
      <c r="I210" s="248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248"/>
      <c r="U210" s="248"/>
      <c r="V210" s="248"/>
      <c r="W210" s="248"/>
      <c r="X210" s="248"/>
      <c r="Y210" s="248"/>
      <c r="Z210" s="248"/>
      <c r="AA210" s="248"/>
      <c r="AB210" s="248"/>
    </row>
    <row r="211" spans="2:28" ht="15.75"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8"/>
      <c r="Q211" s="248"/>
      <c r="R211" s="248"/>
      <c r="S211" s="248"/>
      <c r="T211" s="248"/>
      <c r="U211" s="248"/>
      <c r="V211" s="248"/>
      <c r="W211" s="248"/>
      <c r="X211" s="248"/>
      <c r="Y211" s="248"/>
      <c r="Z211" s="248"/>
      <c r="AA211" s="248"/>
      <c r="AB211" s="248"/>
    </row>
    <row r="212" spans="2:28" ht="15.75">
      <c r="B212" s="248"/>
      <c r="C212" s="248"/>
      <c r="D212" s="248"/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248"/>
      <c r="U212" s="248"/>
      <c r="V212" s="248"/>
      <c r="W212" s="248"/>
      <c r="X212" s="248"/>
      <c r="Y212" s="248"/>
      <c r="Z212" s="248"/>
      <c r="AA212" s="248"/>
      <c r="AB212" s="248"/>
    </row>
    <row r="213" spans="2:28" ht="15.75">
      <c r="B213" s="248"/>
      <c r="C213" s="248"/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</row>
    <row r="214" spans="2:28" ht="15.75"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M214" s="248"/>
      <c r="N214" s="248"/>
      <c r="O214" s="248"/>
      <c r="P214" s="248"/>
      <c r="Q214" s="248"/>
      <c r="R214" s="248"/>
      <c r="S214" s="248"/>
      <c r="T214" s="248"/>
      <c r="U214" s="248"/>
      <c r="V214" s="248"/>
      <c r="W214" s="248"/>
      <c r="X214" s="248"/>
      <c r="Y214" s="248"/>
      <c r="Z214" s="248"/>
      <c r="AA214" s="248"/>
      <c r="AB214" s="248"/>
    </row>
    <row r="215" spans="2:28" ht="15.75"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Q215" s="248"/>
      <c r="R215" s="248"/>
      <c r="S215" s="248"/>
      <c r="T215" s="248"/>
      <c r="U215" s="248"/>
      <c r="V215" s="248"/>
      <c r="W215" s="248"/>
      <c r="X215" s="248"/>
      <c r="Y215" s="248"/>
      <c r="Z215" s="248"/>
      <c r="AA215" s="248"/>
      <c r="AB215" s="248"/>
    </row>
    <row r="216" spans="2:28" ht="15.75">
      <c r="B216" s="248"/>
      <c r="C216" s="248"/>
      <c r="D216" s="248"/>
      <c r="E216" s="248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8"/>
      <c r="R216" s="248"/>
      <c r="S216" s="248"/>
      <c r="T216" s="248"/>
      <c r="U216" s="248"/>
      <c r="V216" s="248"/>
      <c r="W216" s="248"/>
      <c r="X216" s="248"/>
      <c r="Y216" s="248"/>
      <c r="Z216" s="248"/>
      <c r="AA216" s="248"/>
      <c r="AB216" s="248"/>
    </row>
    <row r="217" spans="2:28" ht="15.75">
      <c r="B217" s="248"/>
      <c r="C217" s="248"/>
      <c r="D217" s="248"/>
      <c r="E217" s="248"/>
      <c r="F217" s="248"/>
      <c r="G217" s="248"/>
      <c r="H217" s="248"/>
      <c r="I217" s="248"/>
      <c r="J217" s="248"/>
      <c r="K217" s="248"/>
      <c r="L217" s="248"/>
      <c r="M217" s="248"/>
      <c r="N217" s="248"/>
      <c r="O217" s="248"/>
      <c r="P217" s="248"/>
      <c r="Q217" s="248"/>
      <c r="R217" s="248"/>
      <c r="S217" s="248"/>
      <c r="T217" s="248"/>
      <c r="U217" s="248"/>
      <c r="V217" s="248"/>
      <c r="W217" s="248"/>
      <c r="X217" s="248"/>
      <c r="Y217" s="248"/>
      <c r="Z217" s="248"/>
      <c r="AA217" s="248"/>
      <c r="AB217" s="248"/>
    </row>
    <row r="218" spans="2:28" ht="15.75"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  <c r="Q218" s="248"/>
      <c r="R218" s="248"/>
      <c r="S218" s="248"/>
      <c r="T218" s="248"/>
      <c r="U218" s="248"/>
      <c r="V218" s="248"/>
      <c r="W218" s="248"/>
      <c r="X218" s="248"/>
      <c r="Y218" s="248"/>
      <c r="Z218" s="248"/>
      <c r="AA218" s="248"/>
      <c r="AB218" s="248"/>
    </row>
    <row r="219" spans="2:28" ht="15.75"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248"/>
      <c r="U219" s="248"/>
      <c r="V219" s="248"/>
      <c r="W219" s="248"/>
      <c r="X219" s="248"/>
      <c r="Y219" s="248"/>
      <c r="Z219" s="248"/>
      <c r="AA219" s="248"/>
      <c r="AB219" s="248"/>
    </row>
    <row r="220" spans="2:28" ht="15.75">
      <c r="B220" s="248"/>
      <c r="C220" s="248"/>
      <c r="D220" s="248"/>
      <c r="E220" s="248"/>
      <c r="F220" s="248"/>
      <c r="G220" s="248"/>
      <c r="H220" s="248"/>
      <c r="I220" s="248"/>
      <c r="J220" s="248"/>
      <c r="K220" s="248"/>
      <c r="L220" s="248"/>
      <c r="M220" s="248"/>
      <c r="N220" s="248"/>
      <c r="O220" s="248"/>
      <c r="P220" s="248"/>
      <c r="Q220" s="248"/>
      <c r="R220" s="248"/>
      <c r="S220" s="248"/>
      <c r="T220" s="248"/>
      <c r="U220" s="248"/>
      <c r="V220" s="248"/>
      <c r="W220" s="248"/>
      <c r="X220" s="248"/>
      <c r="Y220" s="248"/>
      <c r="Z220" s="248"/>
      <c r="AA220" s="248"/>
      <c r="AB220" s="248"/>
    </row>
    <row r="221" spans="2:28" ht="15.75">
      <c r="B221" s="248"/>
      <c r="C221" s="248"/>
      <c r="D221" s="248"/>
      <c r="E221" s="248"/>
      <c r="F221" s="248"/>
      <c r="G221" s="248"/>
      <c r="H221" s="248"/>
      <c r="I221" s="248"/>
      <c r="J221" s="248"/>
      <c r="K221" s="248"/>
      <c r="L221" s="248"/>
      <c r="M221" s="248"/>
      <c r="N221" s="248"/>
      <c r="O221" s="248"/>
      <c r="P221" s="248"/>
      <c r="Q221" s="248"/>
      <c r="R221" s="248"/>
      <c r="S221" s="248"/>
      <c r="T221" s="248"/>
      <c r="U221" s="248"/>
      <c r="V221" s="248"/>
      <c r="W221" s="248"/>
      <c r="X221" s="248"/>
      <c r="Y221" s="248"/>
      <c r="Z221" s="248"/>
      <c r="AA221" s="248"/>
      <c r="AB221" s="248"/>
    </row>
    <row r="222" spans="2:28" ht="15.75">
      <c r="B222" s="248"/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M222" s="248"/>
      <c r="N222" s="248"/>
      <c r="O222" s="248"/>
      <c r="P222" s="248"/>
      <c r="Q222" s="248"/>
      <c r="R222" s="248"/>
      <c r="S222" s="248"/>
      <c r="T222" s="248"/>
      <c r="U222" s="248"/>
      <c r="V222" s="248"/>
      <c r="W222" s="248"/>
      <c r="X222" s="248"/>
      <c r="Y222" s="248"/>
      <c r="Z222" s="248"/>
      <c r="AA222" s="248"/>
      <c r="AB222" s="248"/>
    </row>
    <row r="223" spans="2:28" ht="15.75">
      <c r="B223" s="248"/>
      <c r="C223" s="248"/>
      <c r="D223" s="248"/>
      <c r="E223" s="248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8"/>
      <c r="R223" s="248"/>
      <c r="S223" s="248"/>
      <c r="T223" s="248"/>
      <c r="U223" s="248"/>
      <c r="V223" s="248"/>
      <c r="W223" s="248"/>
      <c r="X223" s="248"/>
      <c r="Y223" s="248"/>
      <c r="Z223" s="248"/>
      <c r="AA223" s="248"/>
      <c r="AB223" s="248"/>
    </row>
    <row r="224" spans="2:28" ht="15.75"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  <c r="AA224" s="248"/>
      <c r="AB224" s="248"/>
    </row>
    <row r="225" spans="2:28" ht="15.75">
      <c r="B225" s="248"/>
      <c r="C225" s="248"/>
      <c r="D225" s="248"/>
      <c r="E225" s="248"/>
      <c r="F225" s="248"/>
      <c r="G225" s="248"/>
      <c r="H225" s="248"/>
      <c r="I225" s="248"/>
      <c r="J225" s="248"/>
      <c r="K225" s="248"/>
      <c r="L225" s="248"/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  <c r="X225" s="248"/>
      <c r="Y225" s="248"/>
      <c r="Z225" s="248"/>
      <c r="AA225" s="248"/>
      <c r="AB225" s="248"/>
    </row>
    <row r="226" spans="2:28" ht="15.75">
      <c r="B226" s="248"/>
      <c r="C226" s="248"/>
      <c r="D226" s="248"/>
      <c r="E226" s="248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8"/>
      <c r="R226" s="248"/>
      <c r="S226" s="248"/>
      <c r="T226" s="248"/>
      <c r="U226" s="248"/>
      <c r="V226" s="248"/>
      <c r="W226" s="248"/>
      <c r="X226" s="248"/>
      <c r="Y226" s="248"/>
      <c r="Z226" s="248"/>
      <c r="AA226" s="248"/>
      <c r="AB226" s="248"/>
    </row>
    <row r="227" spans="2:28" ht="15.75">
      <c r="B227" s="248"/>
      <c r="C227" s="248"/>
      <c r="D227" s="248"/>
      <c r="E227" s="248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  <c r="AA227" s="248"/>
      <c r="AB227" s="248"/>
    </row>
    <row r="228" spans="2:28" ht="15.75">
      <c r="B228" s="248"/>
      <c r="C228" s="248"/>
      <c r="D228" s="248"/>
      <c r="E228" s="248"/>
      <c r="F228" s="248"/>
      <c r="G228" s="248"/>
      <c r="H228" s="248"/>
      <c r="I228" s="248"/>
      <c r="J228" s="248"/>
      <c r="K228" s="248"/>
      <c r="L228" s="248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8"/>
      <c r="X228" s="248"/>
      <c r="Y228" s="248"/>
      <c r="Z228" s="248"/>
      <c r="AA228" s="248"/>
      <c r="AB228" s="248"/>
    </row>
    <row r="229" spans="2:28" ht="15.75">
      <c r="B229" s="248"/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M229" s="248"/>
      <c r="N229" s="248"/>
      <c r="O229" s="248"/>
      <c r="P229" s="248"/>
      <c r="Q229" s="248"/>
      <c r="R229" s="248"/>
      <c r="S229" s="248"/>
      <c r="T229" s="248"/>
      <c r="U229" s="248"/>
      <c r="V229" s="248"/>
      <c r="W229" s="248"/>
      <c r="X229" s="248"/>
      <c r="Y229" s="248"/>
      <c r="Z229" s="248"/>
      <c r="AA229" s="248"/>
      <c r="AB229" s="248"/>
    </row>
    <row r="230" spans="2:28" ht="15.75"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248"/>
    </row>
    <row r="231" spans="2:28" ht="15.75"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  <c r="AA231" s="248"/>
      <c r="AB231" s="248"/>
    </row>
    <row r="232" spans="2:28" ht="15.75">
      <c r="B232" s="248"/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M232" s="248"/>
      <c r="N232" s="248"/>
      <c r="O232" s="248"/>
      <c r="P232" s="248"/>
      <c r="Q232" s="248"/>
      <c r="R232" s="248"/>
      <c r="S232" s="248"/>
      <c r="T232" s="248"/>
      <c r="U232" s="248"/>
      <c r="V232" s="248"/>
      <c r="W232" s="248"/>
      <c r="X232" s="248"/>
      <c r="Y232" s="248"/>
      <c r="Z232" s="248"/>
      <c r="AA232" s="248"/>
      <c r="AB232" s="248"/>
    </row>
    <row r="233" spans="2:28" ht="15.75">
      <c r="B233" s="248"/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</row>
    <row r="234" spans="2:28" ht="15.75">
      <c r="B234" s="248"/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</row>
    <row r="235" spans="2:28" ht="15.75"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</row>
    <row r="236" spans="2:28" ht="15.75"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M236" s="248"/>
      <c r="N236" s="248"/>
      <c r="O236" s="248"/>
      <c r="P236" s="248"/>
      <c r="Q236" s="248"/>
      <c r="R236" s="248"/>
      <c r="S236" s="248"/>
      <c r="T236" s="248"/>
      <c r="U236" s="248"/>
      <c r="V236" s="248"/>
      <c r="W236" s="248"/>
      <c r="X236" s="248"/>
      <c r="Y236" s="248"/>
      <c r="Z236" s="248"/>
      <c r="AA236" s="248"/>
      <c r="AB236" s="248"/>
    </row>
    <row r="237" spans="2:28" ht="15.75"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  <c r="N237" s="248"/>
      <c r="O237" s="248"/>
      <c r="P237" s="248"/>
      <c r="Q237" s="248"/>
      <c r="R237" s="248"/>
      <c r="S237" s="248"/>
      <c r="T237" s="248"/>
      <c r="U237" s="248"/>
      <c r="V237" s="248"/>
      <c r="W237" s="248"/>
      <c r="X237" s="248"/>
      <c r="Y237" s="248"/>
      <c r="Z237" s="248"/>
      <c r="AA237" s="248"/>
      <c r="AB237" s="248"/>
    </row>
    <row r="238" spans="2:28" ht="15.75"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</row>
    <row r="239" spans="2:28" ht="15.75">
      <c r="B239" s="248"/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8"/>
      <c r="AA239" s="248"/>
      <c r="AB239" s="248"/>
    </row>
    <row r="240" spans="2:28" ht="15.75"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  <c r="AA240" s="248"/>
      <c r="AB240" s="248"/>
    </row>
    <row r="241" spans="2:28" ht="15.75">
      <c r="B241" s="248"/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  <c r="AA241" s="248"/>
      <c r="AB241" s="248"/>
    </row>
    <row r="242" spans="2:28" ht="15.75">
      <c r="B242" s="248"/>
      <c r="C242" s="248"/>
      <c r="D242" s="248"/>
      <c r="E242" s="248"/>
      <c r="F242" s="248"/>
      <c r="G242" s="248"/>
      <c r="H242" s="248"/>
      <c r="I242" s="248"/>
      <c r="J242" s="248"/>
      <c r="K242" s="248"/>
      <c r="L242" s="248"/>
      <c r="M242" s="248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8"/>
      <c r="Z242" s="248"/>
      <c r="AA242" s="248"/>
      <c r="AB242" s="248"/>
    </row>
    <row r="243" spans="2:28" ht="15.75">
      <c r="B243" s="248"/>
      <c r="C243" s="248"/>
      <c r="D243" s="248"/>
      <c r="E243" s="248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8"/>
      <c r="AA243" s="248"/>
      <c r="AB243" s="248"/>
    </row>
    <row r="244" spans="2:28" ht="15.75">
      <c r="B244" s="248"/>
      <c r="C244" s="248"/>
      <c r="D244" s="248"/>
      <c r="E244" s="248"/>
      <c r="F244" s="248"/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248"/>
      <c r="AA244" s="248"/>
      <c r="AB244" s="248"/>
    </row>
    <row r="245" spans="2:28" ht="15.75">
      <c r="B245" s="248"/>
      <c r="C245" s="248"/>
      <c r="D245" s="248"/>
      <c r="E245" s="248"/>
      <c r="F245" s="248"/>
      <c r="G245" s="248"/>
      <c r="H245" s="248"/>
      <c r="I245" s="248"/>
      <c r="J245" s="248"/>
      <c r="K245" s="248"/>
      <c r="L245" s="248"/>
      <c r="M245" s="248"/>
      <c r="N245" s="248"/>
      <c r="O245" s="248"/>
      <c r="P245" s="248"/>
      <c r="Q245" s="248"/>
      <c r="R245" s="248"/>
      <c r="S245" s="248"/>
      <c r="T245" s="248"/>
      <c r="U245" s="248"/>
      <c r="V245" s="248"/>
      <c r="W245" s="248"/>
      <c r="X245" s="248"/>
      <c r="Y245" s="248"/>
      <c r="Z245" s="248"/>
      <c r="AA245" s="248"/>
      <c r="AB245" s="248"/>
    </row>
    <row r="246" spans="2:28" ht="15.75"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  <c r="AA246" s="248"/>
      <c r="AB246" s="248"/>
    </row>
    <row r="247" spans="2:28" ht="15.75">
      <c r="B247" s="248"/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248"/>
      <c r="U247" s="248"/>
      <c r="V247" s="248"/>
      <c r="W247" s="248"/>
      <c r="X247" s="248"/>
      <c r="Y247" s="248"/>
      <c r="Z247" s="248"/>
      <c r="AA247" s="248"/>
      <c r="AB247" s="248"/>
    </row>
    <row r="248" spans="2:28" ht="15.75"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  <c r="M248" s="248"/>
      <c r="N248" s="248"/>
      <c r="O248" s="248"/>
      <c r="P248" s="248"/>
      <c r="Q248" s="248"/>
      <c r="R248" s="248"/>
      <c r="S248" s="248"/>
      <c r="T248" s="248"/>
      <c r="U248" s="248"/>
      <c r="V248" s="248"/>
      <c r="W248" s="248"/>
      <c r="X248" s="248"/>
      <c r="Y248" s="248"/>
      <c r="Z248" s="248"/>
      <c r="AA248" s="248"/>
      <c r="AB248" s="248"/>
    </row>
    <row r="249" spans="2:28" ht="15.75"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M249" s="248"/>
      <c r="N249" s="248"/>
      <c r="O249" s="248"/>
      <c r="P249" s="248"/>
      <c r="Q249" s="248"/>
      <c r="R249" s="248"/>
      <c r="S249" s="248"/>
      <c r="T249" s="248"/>
      <c r="U249" s="248"/>
      <c r="V249" s="248"/>
      <c r="W249" s="248"/>
      <c r="X249" s="248"/>
      <c r="Y249" s="248"/>
      <c r="Z249" s="248"/>
      <c r="AA249" s="248"/>
      <c r="AB249" s="248"/>
    </row>
    <row r="250" spans="2:28" ht="15.75"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  <c r="S250" s="248"/>
      <c r="T250" s="248"/>
      <c r="U250" s="248"/>
      <c r="V250" s="248"/>
      <c r="W250" s="248"/>
      <c r="X250" s="248"/>
      <c r="Y250" s="248"/>
      <c r="Z250" s="248"/>
      <c r="AA250" s="248"/>
      <c r="AB250" s="248"/>
    </row>
    <row r="251" spans="2:28" ht="15.75">
      <c r="B251" s="248"/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8"/>
      <c r="Z251" s="248"/>
      <c r="AA251" s="248"/>
      <c r="AB251" s="248"/>
    </row>
    <row r="252" spans="2:28" ht="15.75">
      <c r="B252" s="248"/>
      <c r="C252" s="248"/>
      <c r="D252" s="248"/>
      <c r="E252" s="248"/>
      <c r="F252" s="248"/>
      <c r="G252" s="248"/>
      <c r="H252" s="248"/>
      <c r="I252" s="248"/>
      <c r="J252" s="248"/>
      <c r="K252" s="248"/>
      <c r="L252" s="248"/>
      <c r="M252" s="248"/>
      <c r="N252" s="248"/>
      <c r="O252" s="248"/>
      <c r="P252" s="248"/>
      <c r="Q252" s="248"/>
      <c r="R252" s="248"/>
      <c r="S252" s="248"/>
      <c r="T252" s="248"/>
      <c r="U252" s="248"/>
      <c r="V252" s="248"/>
      <c r="W252" s="248"/>
      <c r="X252" s="248"/>
      <c r="Y252" s="248"/>
      <c r="Z252" s="248"/>
      <c r="AA252" s="248"/>
      <c r="AB252" s="248"/>
    </row>
    <row r="253" spans="2:28" ht="15.75">
      <c r="B253" s="248"/>
      <c r="C253" s="248"/>
      <c r="D253" s="248"/>
      <c r="E253" s="248"/>
      <c r="F253" s="248"/>
      <c r="G253" s="248"/>
      <c r="H253" s="248"/>
      <c r="I253" s="248"/>
      <c r="J253" s="248"/>
      <c r="K253" s="248"/>
      <c r="L253" s="248"/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  <c r="X253" s="248"/>
      <c r="Y253" s="248"/>
      <c r="Z253" s="248"/>
      <c r="AA253" s="248"/>
      <c r="AB253" s="248"/>
    </row>
    <row r="254" spans="2:28" ht="15.75">
      <c r="B254" s="248"/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8"/>
      <c r="V254" s="248"/>
      <c r="W254" s="248"/>
      <c r="X254" s="248"/>
      <c r="Y254" s="248"/>
      <c r="Z254" s="248"/>
      <c r="AA254" s="248"/>
      <c r="AB254" s="248"/>
    </row>
    <row r="255" spans="2:28" ht="15.75"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48"/>
      <c r="U255" s="248"/>
      <c r="V255" s="248"/>
      <c r="W255" s="248"/>
      <c r="X255" s="248"/>
      <c r="Y255" s="248"/>
      <c r="Z255" s="248"/>
      <c r="AA255" s="248"/>
      <c r="AB255" s="248"/>
    </row>
    <row r="256" spans="2:28" ht="15.75">
      <c r="B256" s="248"/>
      <c r="C256" s="248"/>
      <c r="D256" s="248"/>
      <c r="E256" s="248"/>
      <c r="F256" s="248"/>
      <c r="G256" s="248"/>
      <c r="H256" s="248"/>
      <c r="I256" s="248"/>
      <c r="J256" s="248"/>
      <c r="K256" s="248"/>
      <c r="L256" s="248"/>
      <c r="M256" s="248"/>
      <c r="N256" s="248"/>
      <c r="O256" s="248"/>
      <c r="P256" s="248"/>
      <c r="Q256" s="248"/>
      <c r="R256" s="248"/>
      <c r="S256" s="248"/>
      <c r="T256" s="248"/>
      <c r="U256" s="248"/>
      <c r="V256" s="248"/>
      <c r="W256" s="248"/>
      <c r="X256" s="248"/>
      <c r="Y256" s="248"/>
      <c r="Z256" s="248"/>
      <c r="AA256" s="248"/>
      <c r="AB256" s="248"/>
    </row>
    <row r="257" spans="2:28" ht="15.75"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  <c r="M257" s="248"/>
      <c r="N257" s="248"/>
      <c r="O257" s="248"/>
      <c r="P257" s="248"/>
      <c r="Q257" s="248"/>
      <c r="R257" s="248"/>
      <c r="S257" s="248"/>
      <c r="T257" s="248"/>
      <c r="U257" s="248"/>
      <c r="V257" s="248"/>
      <c r="W257" s="248"/>
      <c r="X257" s="248"/>
      <c r="Y257" s="248"/>
      <c r="Z257" s="248"/>
      <c r="AA257" s="248"/>
      <c r="AB257" s="248"/>
    </row>
    <row r="258" spans="2:28" ht="15.75"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  <c r="M258" s="248"/>
      <c r="N258" s="248"/>
      <c r="O258" s="248"/>
      <c r="P258" s="248"/>
      <c r="Q258" s="248"/>
      <c r="R258" s="248"/>
      <c r="S258" s="248"/>
      <c r="T258" s="248"/>
      <c r="U258" s="248"/>
      <c r="V258" s="248"/>
      <c r="W258" s="248"/>
      <c r="X258" s="248"/>
      <c r="Y258" s="248"/>
      <c r="Z258" s="248"/>
      <c r="AA258" s="248"/>
      <c r="AB258" s="248"/>
    </row>
    <row r="259" spans="2:28" ht="15.75"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M259" s="248"/>
      <c r="N259" s="248"/>
      <c r="O259" s="248"/>
      <c r="P259" s="248"/>
      <c r="Q259" s="248"/>
      <c r="R259" s="248"/>
      <c r="S259" s="248"/>
      <c r="T259" s="248"/>
      <c r="U259" s="248"/>
      <c r="V259" s="248"/>
      <c r="W259" s="248"/>
      <c r="X259" s="248"/>
      <c r="Y259" s="248"/>
      <c r="Z259" s="248"/>
      <c r="AA259" s="248"/>
      <c r="AB259" s="248"/>
    </row>
    <row r="260" spans="2:28" ht="15.75">
      <c r="B260" s="248"/>
      <c r="C260" s="248"/>
      <c r="D260" s="248"/>
      <c r="E260" s="248"/>
      <c r="F260" s="248"/>
      <c r="G260" s="248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  <c r="AA260" s="248"/>
      <c r="AB260" s="248"/>
    </row>
    <row r="261" spans="2:28" ht="15.75">
      <c r="B261" s="248"/>
      <c r="C261" s="248"/>
      <c r="D261" s="248"/>
      <c r="E261" s="248"/>
      <c r="F261" s="248"/>
      <c r="G261" s="248"/>
      <c r="H261" s="248"/>
      <c r="I261" s="248"/>
      <c r="J261" s="248"/>
      <c r="K261" s="248"/>
      <c r="L261" s="248"/>
      <c r="M261" s="248"/>
      <c r="N261" s="248"/>
      <c r="O261" s="248"/>
      <c r="P261" s="248"/>
      <c r="Q261" s="248"/>
      <c r="R261" s="248"/>
      <c r="S261" s="248"/>
      <c r="T261" s="248"/>
      <c r="U261" s="248"/>
      <c r="V261" s="248"/>
      <c r="W261" s="248"/>
      <c r="X261" s="248"/>
      <c r="Y261" s="248"/>
      <c r="Z261" s="248"/>
      <c r="AA261" s="248"/>
      <c r="AB261" s="248"/>
    </row>
    <row r="262" spans="2:28" ht="15.75">
      <c r="B262" s="248"/>
      <c r="C262" s="248"/>
      <c r="D262" s="248"/>
      <c r="E262" s="248"/>
      <c r="F262" s="248"/>
      <c r="G262" s="248"/>
      <c r="H262" s="248"/>
      <c r="I262" s="248"/>
      <c r="J262" s="248"/>
      <c r="K262" s="248"/>
      <c r="L262" s="248"/>
      <c r="M262" s="248"/>
      <c r="N262" s="248"/>
      <c r="O262" s="248"/>
      <c r="P262" s="248"/>
      <c r="Q262" s="248"/>
      <c r="R262" s="248"/>
      <c r="S262" s="248"/>
      <c r="T262" s="248"/>
      <c r="U262" s="248"/>
      <c r="V262" s="248"/>
      <c r="W262" s="248"/>
      <c r="X262" s="248"/>
      <c r="Y262" s="248"/>
      <c r="Z262" s="248"/>
      <c r="AA262" s="248"/>
      <c r="AB262" s="248"/>
    </row>
    <row r="263" spans="2:28" ht="15.75">
      <c r="B263" s="248"/>
      <c r="C263" s="248"/>
      <c r="D263" s="248"/>
      <c r="E263" s="248"/>
      <c r="F263" s="248"/>
      <c r="G263" s="248"/>
      <c r="H263" s="248"/>
      <c r="I263" s="248"/>
      <c r="J263" s="248"/>
      <c r="K263" s="248"/>
      <c r="L263" s="248"/>
      <c r="M263" s="248"/>
      <c r="N263" s="248"/>
      <c r="O263" s="248"/>
      <c r="P263" s="248"/>
      <c r="Q263" s="248"/>
      <c r="R263" s="248"/>
      <c r="S263" s="248"/>
      <c r="T263" s="248"/>
      <c r="U263" s="248"/>
      <c r="V263" s="248"/>
      <c r="W263" s="248"/>
      <c r="X263" s="248"/>
      <c r="Y263" s="248"/>
      <c r="Z263" s="248"/>
      <c r="AA263" s="248"/>
      <c r="AB263" s="248"/>
    </row>
    <row r="264" spans="2:28" ht="15.75"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M264" s="248"/>
      <c r="N264" s="248"/>
      <c r="O264" s="248"/>
      <c r="P264" s="248"/>
      <c r="Q264" s="248"/>
      <c r="R264" s="248"/>
      <c r="S264" s="248"/>
      <c r="T264" s="248"/>
      <c r="U264" s="248"/>
      <c r="V264" s="248"/>
      <c r="W264" s="248"/>
      <c r="X264" s="248"/>
      <c r="Y264" s="248"/>
      <c r="Z264" s="248"/>
      <c r="AA264" s="248"/>
      <c r="AB264" s="248"/>
    </row>
    <row r="265" spans="2:28" ht="15.75">
      <c r="B265" s="248"/>
      <c r="C265" s="248"/>
      <c r="D265" s="248"/>
      <c r="E265" s="248"/>
      <c r="F265" s="248"/>
      <c r="G265" s="248"/>
      <c r="H265" s="248"/>
      <c r="I265" s="248"/>
      <c r="J265" s="248"/>
      <c r="K265" s="248"/>
      <c r="L265" s="248"/>
      <c r="M265" s="248"/>
      <c r="N265" s="248"/>
      <c r="O265" s="248"/>
      <c r="P265" s="248"/>
      <c r="Q265" s="248"/>
      <c r="R265" s="248"/>
      <c r="S265" s="248"/>
      <c r="T265" s="248"/>
      <c r="U265" s="248"/>
      <c r="V265" s="248"/>
      <c r="W265" s="248"/>
      <c r="X265" s="248"/>
      <c r="Y265" s="248"/>
      <c r="Z265" s="248"/>
      <c r="AA265" s="248"/>
      <c r="AB265" s="248"/>
    </row>
    <row r="266" spans="2:28" ht="15.75"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  <c r="L266" s="248"/>
      <c r="M266" s="248"/>
      <c r="N266" s="248"/>
      <c r="O266" s="248"/>
      <c r="P266" s="248"/>
      <c r="Q266" s="248"/>
      <c r="R266" s="248"/>
      <c r="S266" s="248"/>
      <c r="T266" s="248"/>
      <c r="U266" s="248"/>
      <c r="V266" s="248"/>
      <c r="W266" s="248"/>
      <c r="X266" s="248"/>
      <c r="Y266" s="248"/>
      <c r="Z266" s="248"/>
      <c r="AA266" s="248"/>
      <c r="AB266" s="248"/>
    </row>
    <row r="267" spans="2:28" ht="15.75"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  <c r="AA267" s="248"/>
      <c r="AB267" s="248"/>
    </row>
    <row r="268" spans="2:28" ht="15.75">
      <c r="B268" s="248"/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M268" s="248"/>
      <c r="N268" s="248"/>
      <c r="O268" s="248"/>
      <c r="P268" s="248"/>
      <c r="Q268" s="248"/>
      <c r="R268" s="248"/>
      <c r="S268" s="248"/>
      <c r="T268" s="248"/>
      <c r="U268" s="248"/>
      <c r="V268" s="248"/>
      <c r="W268" s="248"/>
      <c r="X268" s="248"/>
      <c r="Y268" s="248"/>
      <c r="Z268" s="248"/>
      <c r="AA268" s="248"/>
      <c r="AB268" s="248"/>
    </row>
    <row r="269" spans="2:28" ht="15.75">
      <c r="B269" s="248"/>
      <c r="C269" s="248"/>
      <c r="D269" s="248"/>
      <c r="E269" s="248"/>
      <c r="F269" s="248"/>
      <c r="G269" s="248"/>
      <c r="H269" s="248"/>
      <c r="I269" s="248"/>
      <c r="J269" s="248"/>
      <c r="K269" s="248"/>
      <c r="L269" s="248"/>
      <c r="M269" s="248"/>
      <c r="N269" s="248"/>
      <c r="O269" s="248"/>
      <c r="P269" s="248"/>
      <c r="Q269" s="248"/>
      <c r="R269" s="248"/>
      <c r="S269" s="248"/>
      <c r="T269" s="248"/>
      <c r="U269" s="248"/>
      <c r="V269" s="248"/>
      <c r="W269" s="248"/>
      <c r="X269" s="248"/>
      <c r="Y269" s="248"/>
      <c r="Z269" s="248"/>
      <c r="AA269" s="248"/>
      <c r="AB269" s="248"/>
    </row>
    <row r="270" spans="2:28" ht="15.75">
      <c r="B270" s="248"/>
      <c r="C270" s="248"/>
      <c r="D270" s="248"/>
      <c r="E270" s="248"/>
      <c r="F270" s="248"/>
      <c r="G270" s="248"/>
      <c r="H270" s="248"/>
      <c r="I270" s="248"/>
      <c r="J270" s="248"/>
      <c r="K270" s="248"/>
      <c r="L270" s="248"/>
      <c r="M270" s="248"/>
      <c r="N270" s="248"/>
      <c r="O270" s="248"/>
      <c r="P270" s="248"/>
      <c r="Q270" s="248"/>
      <c r="R270" s="248"/>
      <c r="S270" s="248"/>
      <c r="T270" s="248"/>
      <c r="U270" s="248"/>
      <c r="V270" s="248"/>
      <c r="W270" s="248"/>
      <c r="X270" s="248"/>
      <c r="Y270" s="248"/>
      <c r="Z270" s="248"/>
      <c r="AA270" s="248"/>
      <c r="AB270" s="248"/>
    </row>
    <row r="271" spans="2:28" ht="15.75"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8"/>
      <c r="M271" s="248"/>
      <c r="N271" s="248"/>
      <c r="O271" s="248"/>
      <c r="P271" s="248"/>
      <c r="Q271" s="248"/>
      <c r="R271" s="248"/>
      <c r="S271" s="248"/>
      <c r="T271" s="248"/>
      <c r="U271" s="248"/>
      <c r="V271" s="248"/>
      <c r="W271" s="248"/>
      <c r="X271" s="248"/>
      <c r="Y271" s="248"/>
      <c r="Z271" s="248"/>
      <c r="AA271" s="248"/>
      <c r="AB271" s="248"/>
    </row>
    <row r="272" spans="2:28" ht="15.75">
      <c r="B272" s="248"/>
      <c r="C272" s="248"/>
      <c r="D272" s="248"/>
      <c r="E272" s="248"/>
      <c r="F272" s="248"/>
      <c r="G272" s="248"/>
      <c r="H272" s="248"/>
      <c r="I272" s="248"/>
      <c r="J272" s="248"/>
      <c r="K272" s="248"/>
      <c r="L272" s="248"/>
      <c r="M272" s="248"/>
      <c r="N272" s="248"/>
      <c r="O272" s="248"/>
      <c r="P272" s="248"/>
      <c r="Q272" s="248"/>
      <c r="R272" s="248"/>
      <c r="S272" s="248"/>
      <c r="T272" s="248"/>
      <c r="U272" s="248"/>
      <c r="V272" s="248"/>
      <c r="W272" s="248"/>
      <c r="X272" s="248"/>
      <c r="Y272" s="248"/>
      <c r="Z272" s="248"/>
      <c r="AA272" s="248"/>
      <c r="AB272" s="248"/>
    </row>
    <row r="273" spans="2:28" ht="15.75"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</row>
    <row r="274" spans="2:28" ht="15.75">
      <c r="B274" s="248"/>
      <c r="C274" s="248"/>
      <c r="D274" s="248"/>
      <c r="E274" s="248"/>
      <c r="F274" s="248"/>
      <c r="G274" s="248"/>
      <c r="H274" s="248"/>
      <c r="I274" s="248"/>
      <c r="J274" s="248"/>
      <c r="K274" s="248"/>
      <c r="L274" s="248"/>
      <c r="M274" s="248"/>
      <c r="N274" s="248"/>
      <c r="O274" s="248"/>
      <c r="P274" s="248"/>
      <c r="Q274" s="248"/>
      <c r="R274" s="248"/>
      <c r="S274" s="248"/>
      <c r="T274" s="248"/>
      <c r="U274" s="248"/>
      <c r="V274" s="248"/>
      <c r="W274" s="248"/>
      <c r="X274" s="248"/>
      <c r="Y274" s="248"/>
      <c r="Z274" s="248"/>
      <c r="AA274" s="248"/>
      <c r="AB274" s="248"/>
    </row>
    <row r="275" spans="2:28" ht="15.75"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48"/>
      <c r="U275" s="248"/>
      <c r="V275" s="248"/>
      <c r="W275" s="248"/>
      <c r="X275" s="248"/>
      <c r="Y275" s="248"/>
      <c r="Z275" s="248"/>
      <c r="AA275" s="248"/>
      <c r="AB275" s="248"/>
    </row>
    <row r="276" spans="2:28" ht="15.75">
      <c r="B276" s="248"/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  <c r="M276" s="248"/>
      <c r="N276" s="248"/>
      <c r="O276" s="248"/>
      <c r="P276" s="248"/>
      <c r="Q276" s="248"/>
      <c r="R276" s="248"/>
      <c r="S276" s="248"/>
      <c r="T276" s="248"/>
      <c r="U276" s="248"/>
      <c r="V276" s="248"/>
      <c r="W276" s="248"/>
      <c r="X276" s="248"/>
      <c r="Y276" s="248"/>
      <c r="Z276" s="248"/>
      <c r="AA276" s="248"/>
      <c r="AB276" s="248"/>
    </row>
    <row r="277" spans="2:28" ht="15.75"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  <c r="M277" s="248"/>
      <c r="N277" s="248"/>
      <c r="O277" s="248"/>
      <c r="P277" s="248"/>
      <c r="Q277" s="248"/>
      <c r="R277" s="248"/>
      <c r="S277" s="248"/>
      <c r="T277" s="248"/>
      <c r="U277" s="248"/>
      <c r="V277" s="248"/>
      <c r="W277" s="248"/>
      <c r="X277" s="248"/>
      <c r="Y277" s="248"/>
      <c r="Z277" s="248"/>
      <c r="AA277" s="248"/>
      <c r="AB277" s="248"/>
    </row>
    <row r="278" spans="2:28" ht="15.75">
      <c r="B278" s="248"/>
      <c r="C278" s="248"/>
      <c r="D278" s="248"/>
      <c r="E278" s="248"/>
      <c r="F278" s="248"/>
      <c r="G278" s="248"/>
      <c r="H278" s="248"/>
      <c r="I278" s="248"/>
      <c r="J278" s="248"/>
      <c r="K278" s="248"/>
      <c r="L278" s="248"/>
      <c r="M278" s="248"/>
      <c r="N278" s="248"/>
      <c r="O278" s="248"/>
      <c r="P278" s="248"/>
      <c r="Q278" s="248"/>
      <c r="R278" s="248"/>
      <c r="S278" s="248"/>
      <c r="T278" s="248"/>
      <c r="U278" s="248"/>
      <c r="V278" s="248"/>
      <c r="W278" s="248"/>
      <c r="X278" s="248"/>
      <c r="Y278" s="248"/>
      <c r="Z278" s="248"/>
      <c r="AA278" s="248"/>
      <c r="AB278" s="248"/>
    </row>
    <row r="279" spans="2:28" ht="15.75">
      <c r="B279" s="248"/>
      <c r="C279" s="248"/>
      <c r="D279" s="248"/>
      <c r="E279" s="248"/>
      <c r="F279" s="248"/>
      <c r="G279" s="248"/>
      <c r="H279" s="248"/>
      <c r="I279" s="248"/>
      <c r="J279" s="248"/>
      <c r="K279" s="248"/>
      <c r="L279" s="248"/>
      <c r="M279" s="248"/>
      <c r="N279" s="248"/>
      <c r="O279" s="248"/>
      <c r="P279" s="248"/>
      <c r="Q279" s="248"/>
      <c r="R279" s="248"/>
      <c r="S279" s="248"/>
      <c r="T279" s="248"/>
      <c r="U279" s="248"/>
      <c r="V279" s="248"/>
      <c r="W279" s="248"/>
      <c r="X279" s="248"/>
      <c r="Y279" s="248"/>
      <c r="Z279" s="248"/>
      <c r="AA279" s="248"/>
      <c r="AB279" s="248"/>
    </row>
    <row r="280" spans="2:28" ht="15.75">
      <c r="B280" s="248"/>
      <c r="C280" s="248"/>
      <c r="D280" s="248"/>
      <c r="E280" s="248"/>
      <c r="F280" s="248"/>
      <c r="G280" s="248"/>
      <c r="H280" s="248"/>
      <c r="I280" s="248"/>
      <c r="J280" s="248"/>
      <c r="K280" s="248"/>
      <c r="L280" s="248"/>
      <c r="M280" s="248"/>
      <c r="N280" s="248"/>
      <c r="O280" s="248"/>
      <c r="P280" s="248"/>
      <c r="Q280" s="248"/>
      <c r="R280" s="248"/>
      <c r="S280" s="248"/>
      <c r="T280" s="248"/>
      <c r="U280" s="248"/>
      <c r="V280" s="248"/>
      <c r="W280" s="248"/>
      <c r="X280" s="248"/>
      <c r="Y280" s="248"/>
      <c r="Z280" s="248"/>
      <c r="AA280" s="248"/>
      <c r="AB280" s="248"/>
    </row>
    <row r="281" spans="2:28" ht="15.75">
      <c r="B281" s="248"/>
      <c r="C281" s="248"/>
      <c r="D281" s="248"/>
      <c r="E281" s="248"/>
      <c r="F281" s="248"/>
      <c r="G281" s="248"/>
      <c r="H281" s="248"/>
      <c r="I281" s="248"/>
      <c r="J281" s="248"/>
      <c r="K281" s="248"/>
      <c r="L281" s="248"/>
      <c r="M281" s="248"/>
      <c r="N281" s="248"/>
      <c r="O281" s="248"/>
      <c r="P281" s="248"/>
      <c r="Q281" s="248"/>
      <c r="R281" s="248"/>
      <c r="S281" s="248"/>
      <c r="T281" s="248"/>
      <c r="U281" s="248"/>
      <c r="V281" s="248"/>
      <c r="W281" s="248"/>
      <c r="X281" s="248"/>
      <c r="Y281" s="248"/>
      <c r="Z281" s="248"/>
      <c r="AA281" s="248"/>
      <c r="AB281" s="248"/>
    </row>
    <row r="282" spans="2:28" ht="15.75">
      <c r="B282" s="248"/>
      <c r="C282" s="248"/>
      <c r="D282" s="248"/>
      <c r="E282" s="248"/>
      <c r="F282" s="248"/>
      <c r="G282" s="248"/>
      <c r="H282" s="248"/>
      <c r="I282" s="248"/>
      <c r="J282" s="248"/>
      <c r="K282" s="248"/>
      <c r="L282" s="248"/>
      <c r="M282" s="248"/>
      <c r="N282" s="248"/>
      <c r="O282" s="248"/>
      <c r="P282" s="248"/>
      <c r="Q282" s="248"/>
      <c r="R282" s="248"/>
      <c r="S282" s="248"/>
      <c r="T282" s="248"/>
      <c r="U282" s="248"/>
      <c r="V282" s="248"/>
      <c r="W282" s="248"/>
      <c r="X282" s="248"/>
      <c r="Y282" s="248"/>
      <c r="Z282" s="248"/>
      <c r="AA282" s="248"/>
      <c r="AB282" s="248"/>
    </row>
    <row r="283" spans="2:28" ht="15.75">
      <c r="B283" s="248"/>
      <c r="C283" s="248"/>
      <c r="D283" s="248"/>
      <c r="E283" s="248"/>
      <c r="F283" s="248"/>
      <c r="G283" s="248"/>
      <c r="H283" s="248"/>
      <c r="I283" s="248"/>
      <c r="J283" s="248"/>
      <c r="K283" s="248"/>
      <c r="L283" s="248"/>
      <c r="M283" s="248"/>
      <c r="N283" s="248"/>
      <c r="O283" s="248"/>
      <c r="P283" s="248"/>
      <c r="Q283" s="248"/>
      <c r="R283" s="248"/>
      <c r="S283" s="248"/>
      <c r="T283" s="248"/>
      <c r="U283" s="248"/>
      <c r="V283" s="248"/>
      <c r="W283" s="248"/>
      <c r="X283" s="248"/>
      <c r="Y283" s="248"/>
      <c r="Z283" s="248"/>
      <c r="AA283" s="248"/>
      <c r="AB283" s="248"/>
    </row>
    <row r="284" spans="2:28" ht="15.75">
      <c r="B284" s="248"/>
      <c r="C284" s="248"/>
      <c r="D284" s="248"/>
      <c r="E284" s="248"/>
      <c r="F284" s="248"/>
      <c r="G284" s="248"/>
      <c r="H284" s="248"/>
      <c r="I284" s="248"/>
      <c r="J284" s="248"/>
      <c r="K284" s="248"/>
      <c r="L284" s="248"/>
      <c r="M284" s="248"/>
      <c r="N284" s="248"/>
      <c r="O284" s="248"/>
      <c r="P284" s="248"/>
      <c r="Q284" s="248"/>
      <c r="R284" s="248"/>
      <c r="S284" s="248"/>
      <c r="T284" s="248"/>
      <c r="U284" s="248"/>
      <c r="V284" s="248"/>
      <c r="W284" s="248"/>
      <c r="X284" s="248"/>
      <c r="Y284" s="248"/>
      <c r="Z284" s="248"/>
      <c r="AA284" s="248"/>
      <c r="AB284" s="248"/>
    </row>
    <row r="285" spans="2:28" ht="15.75">
      <c r="B285" s="248"/>
      <c r="C285" s="248"/>
      <c r="D285" s="248"/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</row>
    <row r="286" spans="2:28" ht="15.75">
      <c r="B286" s="248"/>
      <c r="C286" s="248"/>
      <c r="D286" s="248"/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</row>
    <row r="287" spans="2:28" ht="15.75">
      <c r="B287" s="248"/>
      <c r="C287" s="248"/>
      <c r="D287" s="248"/>
      <c r="E287" s="248"/>
      <c r="F287" s="248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</row>
    <row r="288" spans="2:28" ht="15.75">
      <c r="B288" s="248"/>
      <c r="C288" s="248"/>
      <c r="D288" s="248"/>
      <c r="E288" s="248"/>
      <c r="F288" s="248"/>
      <c r="G288" s="248"/>
      <c r="H288" s="248"/>
      <c r="I288" s="248"/>
      <c r="J288" s="248"/>
      <c r="K288" s="248"/>
      <c r="L288" s="248"/>
      <c r="M288" s="248"/>
      <c r="N288" s="248"/>
      <c r="O288" s="248"/>
      <c r="P288" s="248"/>
      <c r="Q288" s="248"/>
      <c r="R288" s="248"/>
      <c r="S288" s="248"/>
      <c r="T288" s="248"/>
      <c r="U288" s="248"/>
      <c r="V288" s="248"/>
      <c r="W288" s="248"/>
      <c r="X288" s="248"/>
      <c r="Y288" s="248"/>
      <c r="Z288" s="248"/>
      <c r="AA288" s="248"/>
      <c r="AB288" s="248"/>
    </row>
    <row r="289" spans="2:28" ht="15.75">
      <c r="B289" s="248"/>
      <c r="C289" s="248"/>
      <c r="D289" s="248"/>
      <c r="E289" s="248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  <c r="Z289" s="248"/>
      <c r="AA289" s="248"/>
      <c r="AB289" s="248"/>
    </row>
    <row r="290" spans="2:28" ht="15.75">
      <c r="B290" s="248"/>
      <c r="C290" s="248"/>
      <c r="D290" s="248"/>
      <c r="E290" s="248"/>
      <c r="F290" s="248"/>
      <c r="G290" s="248"/>
      <c r="H290" s="248"/>
      <c r="I290" s="248"/>
      <c r="J290" s="248"/>
      <c r="K290" s="248"/>
      <c r="L290" s="248"/>
      <c r="M290" s="248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248"/>
      <c r="Y290" s="248"/>
      <c r="Z290" s="248"/>
      <c r="AA290" s="248"/>
      <c r="AB290" s="248"/>
    </row>
    <row r="291" spans="2:28" ht="15.75">
      <c r="B291" s="248"/>
      <c r="C291" s="248"/>
      <c r="D291" s="248"/>
      <c r="E291" s="248"/>
      <c r="F291" s="248"/>
      <c r="G291" s="248"/>
      <c r="H291" s="248"/>
      <c r="I291" s="248"/>
      <c r="J291" s="248"/>
      <c r="K291" s="248"/>
      <c r="L291" s="248"/>
      <c r="M291" s="248"/>
      <c r="N291" s="248"/>
      <c r="O291" s="248"/>
      <c r="P291" s="248"/>
      <c r="Q291" s="248"/>
      <c r="R291" s="248"/>
      <c r="S291" s="248"/>
      <c r="T291" s="248"/>
      <c r="U291" s="248"/>
      <c r="V291" s="248"/>
      <c r="W291" s="248"/>
      <c r="X291" s="248"/>
      <c r="Y291" s="248"/>
      <c r="Z291" s="248"/>
      <c r="AA291" s="248"/>
      <c r="AB291" s="248"/>
    </row>
    <row r="292" spans="2:28" ht="15.75">
      <c r="B292" s="248"/>
      <c r="C292" s="248"/>
      <c r="D292" s="248"/>
      <c r="E292" s="248"/>
      <c r="F292" s="248"/>
      <c r="G292" s="248"/>
      <c r="H292" s="248"/>
      <c r="I292" s="248"/>
      <c r="J292" s="248"/>
      <c r="K292" s="248"/>
      <c r="L292" s="248"/>
      <c r="M292" s="248"/>
      <c r="N292" s="248"/>
      <c r="O292" s="248"/>
      <c r="P292" s="248"/>
      <c r="Q292" s="248"/>
      <c r="R292" s="248"/>
      <c r="S292" s="248"/>
      <c r="T292" s="248"/>
      <c r="U292" s="248"/>
      <c r="V292" s="248"/>
      <c r="W292" s="248"/>
      <c r="X292" s="248"/>
      <c r="Y292" s="248"/>
      <c r="Z292" s="248"/>
      <c r="AA292" s="248"/>
      <c r="AB292" s="248"/>
    </row>
    <row r="293" spans="2:28" ht="15.75">
      <c r="B293" s="248"/>
      <c r="C293" s="248"/>
      <c r="D293" s="248"/>
      <c r="E293" s="248"/>
      <c r="F293" s="248"/>
      <c r="G293" s="248"/>
      <c r="H293" s="248"/>
      <c r="I293" s="248"/>
      <c r="J293" s="248"/>
      <c r="K293" s="248"/>
      <c r="L293" s="248"/>
      <c r="M293" s="248"/>
      <c r="N293" s="248"/>
      <c r="O293" s="248"/>
      <c r="P293" s="248"/>
      <c r="Q293" s="248"/>
      <c r="R293" s="248"/>
      <c r="S293" s="248"/>
      <c r="T293" s="248"/>
      <c r="U293" s="248"/>
      <c r="V293" s="248"/>
      <c r="W293" s="248"/>
      <c r="X293" s="248"/>
      <c r="Y293" s="248"/>
      <c r="Z293" s="248"/>
      <c r="AA293" s="248"/>
      <c r="AB293" s="248"/>
    </row>
    <row r="294" spans="2:28" ht="15.75">
      <c r="B294" s="248"/>
      <c r="C294" s="248"/>
      <c r="D294" s="248"/>
      <c r="E294" s="248"/>
      <c r="F294" s="248"/>
      <c r="G294" s="248"/>
      <c r="H294" s="248"/>
      <c r="I294" s="248"/>
      <c r="J294" s="248"/>
      <c r="K294" s="248"/>
      <c r="L294" s="248"/>
      <c r="M294" s="248"/>
      <c r="N294" s="248"/>
      <c r="O294" s="248"/>
      <c r="P294" s="248"/>
      <c r="Q294" s="248"/>
      <c r="R294" s="248"/>
      <c r="S294" s="248"/>
      <c r="T294" s="248"/>
      <c r="U294" s="248"/>
      <c r="V294" s="248"/>
      <c r="W294" s="248"/>
      <c r="X294" s="248"/>
      <c r="Y294" s="248"/>
      <c r="Z294" s="248"/>
      <c r="AA294" s="248"/>
      <c r="AB294" s="248"/>
    </row>
    <row r="295" spans="2:28" ht="15.75"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248"/>
      <c r="M295" s="248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248"/>
      <c r="Y295" s="248"/>
      <c r="Z295" s="248"/>
      <c r="AA295" s="248"/>
      <c r="AB295" s="248"/>
    </row>
    <row r="296" spans="2:28" ht="15.75">
      <c r="B296" s="248"/>
      <c r="C296" s="248"/>
      <c r="D296" s="248"/>
      <c r="E296" s="248"/>
      <c r="F296" s="248"/>
      <c r="G296" s="248"/>
      <c r="H296" s="248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48"/>
      <c r="U296" s="248"/>
      <c r="V296" s="248"/>
      <c r="W296" s="248"/>
      <c r="X296" s="248"/>
      <c r="Y296" s="248"/>
      <c r="Z296" s="248"/>
      <c r="AA296" s="248"/>
      <c r="AB296" s="248"/>
    </row>
    <row r="297" spans="2:28" ht="15.75">
      <c r="B297" s="248"/>
      <c r="C297" s="248"/>
      <c r="D297" s="248"/>
      <c r="E297" s="248"/>
      <c r="F297" s="248"/>
      <c r="G297" s="248"/>
      <c r="H297" s="248"/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8"/>
      <c r="Z297" s="248"/>
      <c r="AA297" s="248"/>
      <c r="AB297" s="248"/>
    </row>
    <row r="298" spans="2:28" ht="15.75">
      <c r="B298" s="248"/>
      <c r="C298" s="248"/>
      <c r="D298" s="248"/>
      <c r="E298" s="248"/>
      <c r="F298" s="248"/>
      <c r="G298" s="248"/>
      <c r="H298" s="248"/>
      <c r="I298" s="248"/>
      <c r="J298" s="248"/>
      <c r="K298" s="248"/>
      <c r="L298" s="248"/>
      <c r="M298" s="248"/>
      <c r="N298" s="248"/>
      <c r="O298" s="248"/>
      <c r="P298" s="248"/>
      <c r="Q298" s="248"/>
      <c r="R298" s="248"/>
      <c r="S298" s="248"/>
      <c r="T298" s="248"/>
      <c r="U298" s="248"/>
      <c r="V298" s="248"/>
      <c r="W298" s="248"/>
      <c r="X298" s="248"/>
      <c r="Y298" s="248"/>
      <c r="Z298" s="248"/>
      <c r="AA298" s="248"/>
      <c r="AB298" s="248"/>
    </row>
    <row r="299" spans="2:28" ht="15.75"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248"/>
      <c r="M299" s="248"/>
      <c r="N299" s="248"/>
      <c r="O299" s="248"/>
      <c r="P299" s="248"/>
      <c r="Q299" s="248"/>
      <c r="R299" s="248"/>
      <c r="S299" s="248"/>
      <c r="T299" s="248"/>
      <c r="U299" s="248"/>
      <c r="V299" s="248"/>
      <c r="W299" s="248"/>
      <c r="X299" s="248"/>
      <c r="Y299" s="248"/>
      <c r="Z299" s="248"/>
      <c r="AA299" s="248"/>
      <c r="AB299" s="248"/>
    </row>
    <row r="300" spans="2:28" ht="15.75"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8"/>
      <c r="M300" s="248"/>
      <c r="N300" s="248"/>
      <c r="O300" s="248"/>
      <c r="P300" s="248"/>
      <c r="Q300" s="248"/>
      <c r="R300" s="248"/>
      <c r="S300" s="248"/>
      <c r="T300" s="248"/>
      <c r="U300" s="248"/>
      <c r="V300" s="248"/>
      <c r="W300" s="248"/>
      <c r="X300" s="248"/>
      <c r="Y300" s="248"/>
      <c r="Z300" s="248"/>
      <c r="AA300" s="248"/>
      <c r="AB300" s="248"/>
    </row>
    <row r="301" spans="2:28" ht="15.75"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8"/>
      <c r="AA301" s="248"/>
      <c r="AB301" s="248"/>
    </row>
    <row r="302" spans="2:28" ht="15.75"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248"/>
      <c r="O302" s="248"/>
      <c r="P302" s="248"/>
      <c r="Q302" s="248"/>
      <c r="R302" s="248"/>
      <c r="S302" s="248"/>
      <c r="T302" s="248"/>
      <c r="U302" s="248"/>
      <c r="V302" s="248"/>
      <c r="W302" s="248"/>
      <c r="X302" s="248"/>
      <c r="Y302" s="248"/>
      <c r="Z302" s="248"/>
      <c r="AA302" s="248"/>
      <c r="AB302" s="248"/>
    </row>
    <row r="303" spans="2:28" ht="15.75"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248"/>
      <c r="O303" s="248"/>
      <c r="P303" s="248"/>
      <c r="Q303" s="248"/>
      <c r="R303" s="248"/>
      <c r="S303" s="248"/>
      <c r="T303" s="248"/>
      <c r="U303" s="248"/>
      <c r="V303" s="248"/>
      <c r="W303" s="248"/>
      <c r="X303" s="248"/>
      <c r="Y303" s="248"/>
      <c r="Z303" s="248"/>
      <c r="AA303" s="248"/>
      <c r="AB303" s="248"/>
    </row>
    <row r="304" spans="2:28" ht="15.75">
      <c r="B304" s="248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248"/>
      <c r="O304" s="248"/>
      <c r="P304" s="248"/>
      <c r="Q304" s="248"/>
      <c r="R304" s="248"/>
      <c r="S304" s="248"/>
      <c r="T304" s="248"/>
      <c r="U304" s="248"/>
      <c r="V304" s="248"/>
      <c r="W304" s="248"/>
      <c r="X304" s="248"/>
      <c r="Y304" s="248"/>
      <c r="Z304" s="248"/>
      <c r="AA304" s="248"/>
      <c r="AB304" s="248"/>
    </row>
    <row r="305" spans="2:28" ht="15.75">
      <c r="B305" s="248"/>
      <c r="C305" s="248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248"/>
      <c r="O305" s="248"/>
      <c r="P305" s="248"/>
      <c r="Q305" s="248"/>
      <c r="R305" s="248"/>
      <c r="S305" s="248"/>
      <c r="T305" s="248"/>
      <c r="U305" s="248"/>
      <c r="V305" s="248"/>
      <c r="W305" s="248"/>
      <c r="X305" s="248"/>
      <c r="Y305" s="248"/>
      <c r="Z305" s="248"/>
      <c r="AA305" s="248"/>
      <c r="AB305" s="248"/>
    </row>
    <row r="306" spans="2:28" ht="15.75">
      <c r="B306" s="248"/>
      <c r="C306" s="248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248"/>
      <c r="O306" s="248"/>
      <c r="P306" s="248"/>
      <c r="Q306" s="248"/>
      <c r="R306" s="248"/>
      <c r="S306" s="248"/>
      <c r="T306" s="248"/>
      <c r="U306" s="248"/>
      <c r="V306" s="248"/>
      <c r="W306" s="248"/>
      <c r="X306" s="248"/>
      <c r="Y306" s="248"/>
      <c r="Z306" s="248"/>
      <c r="AA306" s="248"/>
      <c r="AB306" s="248"/>
    </row>
    <row r="307" spans="2:28" ht="15.75"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248"/>
      <c r="O307" s="248"/>
      <c r="P307" s="248"/>
      <c r="Q307" s="248"/>
      <c r="R307" s="248"/>
      <c r="S307" s="248"/>
      <c r="T307" s="248"/>
      <c r="U307" s="248"/>
      <c r="V307" s="248"/>
      <c r="W307" s="248"/>
      <c r="X307" s="248"/>
      <c r="Y307" s="248"/>
      <c r="Z307" s="248"/>
      <c r="AA307" s="248"/>
      <c r="AB307" s="248"/>
    </row>
    <row r="308" spans="2:28" ht="15.75"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248"/>
      <c r="O308" s="248"/>
      <c r="P308" s="248"/>
      <c r="Q308" s="248"/>
      <c r="R308" s="248"/>
      <c r="S308" s="248"/>
      <c r="T308" s="248"/>
      <c r="U308" s="248"/>
      <c r="V308" s="248"/>
      <c r="W308" s="248"/>
      <c r="X308" s="248"/>
      <c r="Y308" s="248"/>
      <c r="Z308" s="248"/>
      <c r="AA308" s="248"/>
      <c r="AB308" s="248"/>
    </row>
    <row r="309" spans="2:28" ht="15.75">
      <c r="B309" s="248"/>
      <c r="C309" s="248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248"/>
      <c r="O309" s="248"/>
      <c r="P309" s="248"/>
      <c r="Q309" s="248"/>
      <c r="R309" s="248"/>
      <c r="S309" s="248"/>
      <c r="T309" s="248"/>
      <c r="U309" s="248"/>
      <c r="V309" s="248"/>
      <c r="W309" s="248"/>
      <c r="X309" s="248"/>
      <c r="Y309" s="248"/>
      <c r="Z309" s="248"/>
      <c r="AA309" s="248"/>
      <c r="AB309" s="248"/>
    </row>
    <row r="310" spans="2:28" ht="15.75">
      <c r="B310" s="248"/>
      <c r="C310" s="248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248"/>
      <c r="O310" s="248"/>
      <c r="P310" s="248"/>
      <c r="Q310" s="248"/>
      <c r="R310" s="248"/>
      <c r="S310" s="248"/>
      <c r="T310" s="248"/>
      <c r="U310" s="248"/>
      <c r="V310" s="248"/>
      <c r="W310" s="248"/>
      <c r="X310" s="248"/>
      <c r="Y310" s="248"/>
      <c r="Z310" s="248"/>
      <c r="AA310" s="248"/>
      <c r="AB310" s="248"/>
    </row>
    <row r="311" spans="2:28" ht="15.75">
      <c r="B311" s="248"/>
      <c r="C311" s="248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248"/>
      <c r="O311" s="248"/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8"/>
      <c r="AA311" s="248"/>
      <c r="AB311" s="248"/>
    </row>
    <row r="312" spans="2:28" ht="15.75"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248"/>
      <c r="O312" s="248"/>
      <c r="P312" s="248"/>
      <c r="Q312" s="248"/>
      <c r="R312" s="248"/>
      <c r="S312" s="248"/>
      <c r="T312" s="248"/>
      <c r="U312" s="248"/>
      <c r="V312" s="248"/>
      <c r="W312" s="248"/>
      <c r="X312" s="248"/>
      <c r="Y312" s="248"/>
      <c r="Z312" s="248"/>
      <c r="AA312" s="248"/>
      <c r="AB312" s="248"/>
    </row>
    <row r="313" spans="2:28" ht="15.75"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248"/>
      <c r="O313" s="248"/>
      <c r="P313" s="248"/>
      <c r="Q313" s="248"/>
      <c r="R313" s="248"/>
      <c r="S313" s="248"/>
      <c r="T313" s="248"/>
      <c r="U313" s="248"/>
      <c r="V313" s="248"/>
      <c r="W313" s="248"/>
      <c r="X313" s="248"/>
      <c r="Y313" s="248"/>
      <c r="Z313" s="248"/>
      <c r="AA313" s="248"/>
      <c r="AB313" s="248"/>
    </row>
    <row r="314" spans="2:28" ht="15.75"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248"/>
      <c r="M314" s="248"/>
      <c r="N314" s="248"/>
      <c r="O314" s="248"/>
      <c r="P314" s="248"/>
      <c r="Q314" s="248"/>
      <c r="R314" s="248"/>
      <c r="S314" s="248"/>
      <c r="T314" s="248"/>
      <c r="U314" s="248"/>
      <c r="V314" s="248"/>
      <c r="W314" s="248"/>
      <c r="X314" s="248"/>
      <c r="Y314" s="248"/>
      <c r="Z314" s="248"/>
      <c r="AA314" s="248"/>
      <c r="AB314" s="248"/>
    </row>
    <row r="315" spans="2:28" ht="15.75">
      <c r="B315" s="248"/>
      <c r="C315" s="248"/>
      <c r="D315" s="248"/>
      <c r="E315" s="248"/>
      <c r="F315" s="248"/>
      <c r="G315" s="248"/>
      <c r="H315" s="248"/>
      <c r="I315" s="248"/>
      <c r="J315" s="248"/>
      <c r="K315" s="248"/>
      <c r="L315" s="248"/>
      <c r="M315" s="248"/>
      <c r="N315" s="248"/>
      <c r="O315" s="248"/>
      <c r="P315" s="248"/>
      <c r="Q315" s="248"/>
      <c r="R315" s="248"/>
      <c r="S315" s="248"/>
      <c r="T315" s="248"/>
      <c r="U315" s="248"/>
      <c r="V315" s="248"/>
      <c r="W315" s="248"/>
      <c r="X315" s="248"/>
      <c r="Y315" s="248"/>
      <c r="Z315" s="248"/>
      <c r="AA315" s="248"/>
      <c r="AB315" s="248"/>
    </row>
    <row r="316" spans="2:28" ht="15.75">
      <c r="B316" s="248"/>
      <c r="C316" s="248"/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8"/>
      <c r="P316" s="248"/>
      <c r="Q316" s="248"/>
      <c r="R316" s="248"/>
      <c r="S316" s="248"/>
      <c r="T316" s="248"/>
      <c r="U316" s="248"/>
      <c r="V316" s="248"/>
      <c r="W316" s="248"/>
      <c r="X316" s="248"/>
      <c r="Y316" s="248"/>
      <c r="Z316" s="248"/>
      <c r="AA316" s="248"/>
      <c r="AB316" s="248"/>
    </row>
    <row r="317" spans="2:28" ht="15.75">
      <c r="B317" s="248"/>
      <c r="C317" s="248"/>
      <c r="D317" s="248"/>
      <c r="E317" s="248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48"/>
      <c r="U317" s="248"/>
      <c r="V317" s="248"/>
      <c r="W317" s="248"/>
      <c r="X317" s="248"/>
      <c r="Y317" s="248"/>
      <c r="Z317" s="248"/>
      <c r="AA317" s="248"/>
      <c r="AB317" s="248"/>
    </row>
    <row r="318" spans="2:28" ht="15.75">
      <c r="B318" s="248"/>
      <c r="C318" s="248"/>
      <c r="D318" s="248"/>
      <c r="E318" s="248"/>
      <c r="F318" s="248"/>
      <c r="G318" s="248"/>
      <c r="H318" s="248"/>
      <c r="I318" s="248"/>
      <c r="J318" s="248"/>
      <c r="K318" s="248"/>
      <c r="L318" s="248"/>
      <c r="M318" s="248"/>
      <c r="N318" s="248"/>
      <c r="O318" s="248"/>
      <c r="P318" s="248"/>
      <c r="Q318" s="248"/>
      <c r="R318" s="248"/>
      <c r="S318" s="248"/>
      <c r="T318" s="248"/>
      <c r="U318" s="248"/>
      <c r="V318" s="248"/>
      <c r="W318" s="248"/>
      <c r="X318" s="248"/>
      <c r="Y318" s="248"/>
      <c r="Z318" s="248"/>
      <c r="AA318" s="248"/>
      <c r="AB318" s="248"/>
    </row>
    <row r="319" spans="2:28" ht="15.75">
      <c r="B319" s="248"/>
      <c r="C319" s="248"/>
      <c r="D319" s="248"/>
      <c r="E319" s="248"/>
      <c r="F319" s="248"/>
      <c r="G319" s="248"/>
      <c r="H319" s="248"/>
      <c r="I319" s="248"/>
      <c r="J319" s="248"/>
      <c r="K319" s="248"/>
      <c r="L319" s="248"/>
      <c r="M319" s="248"/>
      <c r="N319" s="248"/>
      <c r="O319" s="248"/>
      <c r="P319" s="248"/>
      <c r="Q319" s="248"/>
      <c r="R319" s="248"/>
      <c r="S319" s="248"/>
      <c r="T319" s="248"/>
      <c r="U319" s="248"/>
      <c r="V319" s="248"/>
      <c r="W319" s="248"/>
      <c r="X319" s="248"/>
      <c r="Y319" s="248"/>
      <c r="Z319" s="248"/>
      <c r="AA319" s="248"/>
      <c r="AB319" s="248"/>
    </row>
    <row r="320" spans="2:28" ht="15.75">
      <c r="B320" s="248"/>
      <c r="C320" s="248"/>
      <c r="D320" s="248"/>
      <c r="E320" s="248"/>
      <c r="F320" s="248"/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8"/>
      <c r="Z320" s="248"/>
      <c r="AA320" s="248"/>
      <c r="AB320" s="248"/>
    </row>
    <row r="321" spans="2:28" ht="15.75">
      <c r="B321" s="248"/>
      <c r="C321" s="248"/>
      <c r="D321" s="248"/>
      <c r="E321" s="248"/>
      <c r="F321" s="248"/>
      <c r="G321" s="248"/>
      <c r="H321" s="248"/>
      <c r="I321" s="248"/>
      <c r="J321" s="248"/>
      <c r="K321" s="248"/>
      <c r="L321" s="248"/>
      <c r="M321" s="248"/>
      <c r="N321" s="248"/>
      <c r="O321" s="248"/>
      <c r="P321" s="248"/>
      <c r="Q321" s="248"/>
      <c r="R321" s="248"/>
      <c r="S321" s="248"/>
      <c r="T321" s="248"/>
      <c r="U321" s="248"/>
      <c r="V321" s="248"/>
      <c r="W321" s="248"/>
      <c r="X321" s="248"/>
      <c r="Y321" s="248"/>
      <c r="Z321" s="248"/>
      <c r="AA321" s="248"/>
      <c r="AB321" s="248"/>
    </row>
    <row r="322" spans="2:28" ht="15.75">
      <c r="B322" s="248"/>
      <c r="C322" s="248"/>
      <c r="D322" s="248"/>
      <c r="E322" s="248"/>
      <c r="F322" s="248"/>
      <c r="G322" s="248"/>
      <c r="H322" s="248"/>
      <c r="I322" s="248"/>
      <c r="J322" s="248"/>
      <c r="K322" s="248"/>
      <c r="L322" s="248"/>
      <c r="M322" s="248"/>
      <c r="N322" s="248"/>
      <c r="O322" s="248"/>
      <c r="P322" s="248"/>
      <c r="Q322" s="248"/>
      <c r="R322" s="248"/>
      <c r="S322" s="248"/>
      <c r="T322" s="248"/>
      <c r="U322" s="248"/>
      <c r="V322" s="248"/>
      <c r="W322" s="248"/>
      <c r="X322" s="248"/>
      <c r="Y322" s="248"/>
      <c r="Z322" s="248"/>
      <c r="AA322" s="248"/>
      <c r="AB322" s="248"/>
    </row>
    <row r="323" spans="2:28" ht="15.75">
      <c r="B323" s="248"/>
      <c r="C323" s="248"/>
      <c r="D323" s="248"/>
      <c r="E323" s="248"/>
      <c r="F323" s="248"/>
      <c r="G323" s="248"/>
      <c r="H323" s="248"/>
      <c r="I323" s="248"/>
      <c r="J323" s="248"/>
      <c r="K323" s="248"/>
      <c r="L323" s="248"/>
      <c r="M323" s="248"/>
      <c r="N323" s="248"/>
      <c r="O323" s="248"/>
      <c r="P323" s="248"/>
      <c r="Q323" s="248"/>
      <c r="R323" s="248"/>
      <c r="S323" s="248"/>
      <c r="T323" s="248"/>
      <c r="U323" s="248"/>
      <c r="V323" s="248"/>
      <c r="W323" s="248"/>
      <c r="X323" s="248"/>
      <c r="Y323" s="248"/>
      <c r="Z323" s="248"/>
      <c r="AA323" s="248"/>
      <c r="AB323" s="248"/>
    </row>
    <row r="324" spans="2:28" ht="15.75">
      <c r="B324" s="248"/>
      <c r="C324" s="248"/>
      <c r="D324" s="248"/>
      <c r="E324" s="248"/>
      <c r="F324" s="248"/>
      <c r="G324" s="248"/>
      <c r="H324" s="248"/>
      <c r="I324" s="248"/>
      <c r="J324" s="248"/>
      <c r="K324" s="248"/>
      <c r="L324" s="248"/>
      <c r="M324" s="248"/>
      <c r="N324" s="248"/>
      <c r="O324" s="248"/>
      <c r="P324" s="248"/>
      <c r="Q324" s="248"/>
      <c r="R324" s="248"/>
      <c r="S324" s="248"/>
      <c r="T324" s="248"/>
      <c r="U324" s="248"/>
      <c r="V324" s="248"/>
      <c r="W324" s="248"/>
      <c r="X324" s="248"/>
      <c r="Y324" s="248"/>
      <c r="Z324" s="248"/>
      <c r="AA324" s="248"/>
      <c r="AB324" s="248"/>
    </row>
    <row r="325" spans="2:28" ht="15.75">
      <c r="B325" s="248"/>
      <c r="C325" s="248"/>
      <c r="D325" s="248"/>
      <c r="E325" s="248"/>
      <c r="F325" s="248"/>
      <c r="G325" s="248"/>
      <c r="H325" s="248"/>
      <c r="I325" s="248"/>
      <c r="J325" s="248"/>
      <c r="K325" s="248"/>
      <c r="L325" s="248"/>
      <c r="M325" s="248"/>
      <c r="N325" s="248"/>
      <c r="O325" s="248"/>
      <c r="P325" s="248"/>
      <c r="Q325" s="248"/>
      <c r="R325" s="248"/>
      <c r="S325" s="248"/>
      <c r="T325" s="248"/>
      <c r="U325" s="248"/>
      <c r="V325" s="248"/>
      <c r="W325" s="248"/>
      <c r="X325" s="248"/>
      <c r="Y325" s="248"/>
      <c r="Z325" s="248"/>
      <c r="AA325" s="248"/>
      <c r="AB325" s="248"/>
    </row>
    <row r="326" spans="2:28" ht="15.75">
      <c r="B326" s="248"/>
      <c r="C326" s="248"/>
      <c r="D326" s="248"/>
      <c r="E326" s="248"/>
      <c r="F326" s="248"/>
      <c r="G326" s="248"/>
      <c r="H326" s="248"/>
      <c r="I326" s="248"/>
      <c r="J326" s="248"/>
      <c r="K326" s="248"/>
      <c r="L326" s="248"/>
      <c r="M326" s="248"/>
      <c r="N326" s="248"/>
      <c r="O326" s="248"/>
      <c r="P326" s="248"/>
      <c r="Q326" s="248"/>
      <c r="R326" s="248"/>
      <c r="S326" s="248"/>
      <c r="T326" s="248"/>
      <c r="U326" s="248"/>
      <c r="V326" s="248"/>
      <c r="W326" s="248"/>
      <c r="X326" s="248"/>
      <c r="Y326" s="248"/>
      <c r="Z326" s="248"/>
      <c r="AA326" s="248"/>
      <c r="AB326" s="248"/>
    </row>
    <row r="327" spans="2:28" ht="15.75">
      <c r="B327" s="248"/>
      <c r="C327" s="248"/>
      <c r="D327" s="248"/>
      <c r="E327" s="248"/>
      <c r="F327" s="248"/>
      <c r="G327" s="248"/>
      <c r="H327" s="248"/>
      <c r="I327" s="248"/>
      <c r="J327" s="248"/>
      <c r="K327" s="248"/>
      <c r="L327" s="248"/>
      <c r="M327" s="248"/>
      <c r="N327" s="248"/>
      <c r="O327" s="248"/>
      <c r="P327" s="248"/>
      <c r="Q327" s="248"/>
      <c r="R327" s="248"/>
      <c r="S327" s="248"/>
      <c r="T327" s="248"/>
      <c r="U327" s="248"/>
      <c r="V327" s="248"/>
      <c r="W327" s="248"/>
      <c r="X327" s="248"/>
      <c r="Y327" s="248"/>
      <c r="Z327" s="248"/>
      <c r="AA327" s="248"/>
      <c r="AB327" s="248"/>
    </row>
    <row r="328" spans="2:28" ht="15.75">
      <c r="B328" s="248"/>
      <c r="C328" s="248"/>
      <c r="D328" s="248"/>
      <c r="E328" s="248"/>
      <c r="F328" s="248"/>
      <c r="G328" s="248"/>
      <c r="H328" s="248"/>
      <c r="I328" s="248"/>
      <c r="J328" s="248"/>
      <c r="K328" s="248"/>
      <c r="L328" s="248"/>
      <c r="M328" s="248"/>
      <c r="N328" s="248"/>
      <c r="O328" s="248"/>
      <c r="P328" s="248"/>
      <c r="Q328" s="248"/>
      <c r="R328" s="248"/>
      <c r="S328" s="248"/>
      <c r="T328" s="248"/>
      <c r="U328" s="248"/>
      <c r="V328" s="248"/>
      <c r="W328" s="248"/>
      <c r="X328" s="248"/>
      <c r="Y328" s="248"/>
      <c r="Z328" s="248"/>
      <c r="AA328" s="248"/>
      <c r="AB328" s="248"/>
    </row>
    <row r="329" spans="2:28" ht="15.75">
      <c r="B329" s="248"/>
      <c r="C329" s="248"/>
      <c r="D329" s="248"/>
      <c r="E329" s="248"/>
      <c r="F329" s="248"/>
      <c r="G329" s="248"/>
      <c r="H329" s="248"/>
      <c r="I329" s="248"/>
      <c r="J329" s="248"/>
      <c r="K329" s="248"/>
      <c r="L329" s="248"/>
      <c r="M329" s="248"/>
      <c r="N329" s="248"/>
      <c r="O329" s="248"/>
      <c r="P329" s="248"/>
      <c r="Q329" s="248"/>
      <c r="R329" s="248"/>
      <c r="S329" s="248"/>
      <c r="T329" s="248"/>
      <c r="U329" s="248"/>
      <c r="V329" s="248"/>
      <c r="W329" s="248"/>
      <c r="X329" s="248"/>
      <c r="Y329" s="248"/>
      <c r="Z329" s="248"/>
      <c r="AA329" s="248"/>
      <c r="AB329" s="248"/>
    </row>
    <row r="330" spans="2:28" ht="15.75">
      <c r="B330" s="248"/>
      <c r="C330" s="248"/>
      <c r="D330" s="248"/>
      <c r="E330" s="248"/>
      <c r="F330" s="248"/>
      <c r="G330" s="248"/>
      <c r="H330" s="248"/>
      <c r="I330" s="248"/>
      <c r="J330" s="248"/>
      <c r="K330" s="248"/>
      <c r="L330" s="248"/>
      <c r="M330" s="248"/>
      <c r="N330" s="248"/>
      <c r="O330" s="248"/>
      <c r="P330" s="248"/>
      <c r="Q330" s="248"/>
      <c r="R330" s="248"/>
      <c r="S330" s="248"/>
      <c r="T330" s="248"/>
      <c r="U330" s="248"/>
      <c r="V330" s="248"/>
      <c r="W330" s="248"/>
      <c r="X330" s="248"/>
      <c r="Y330" s="248"/>
      <c r="Z330" s="248"/>
      <c r="AA330" s="248"/>
      <c r="AB330" s="248"/>
    </row>
    <row r="331" spans="2:28" ht="15.75">
      <c r="B331" s="248"/>
      <c r="C331" s="248"/>
      <c r="D331" s="248"/>
      <c r="E331" s="248"/>
      <c r="F331" s="248"/>
      <c r="G331" s="248"/>
      <c r="H331" s="248"/>
      <c r="I331" s="248"/>
      <c r="J331" s="248"/>
      <c r="K331" s="248"/>
      <c r="L331" s="248"/>
      <c r="M331" s="248"/>
      <c r="N331" s="248"/>
      <c r="O331" s="248"/>
      <c r="P331" s="248"/>
      <c r="Q331" s="248"/>
      <c r="R331" s="248"/>
      <c r="S331" s="248"/>
      <c r="T331" s="248"/>
      <c r="U331" s="248"/>
      <c r="V331" s="248"/>
      <c r="W331" s="248"/>
      <c r="X331" s="248"/>
      <c r="Y331" s="248"/>
      <c r="Z331" s="248"/>
      <c r="AA331" s="248"/>
      <c r="AB331" s="248"/>
    </row>
    <row r="332" spans="2:28" ht="15.75">
      <c r="B332" s="248"/>
      <c r="C332" s="248"/>
      <c r="D332" s="248"/>
      <c r="E332" s="248"/>
      <c r="F332" s="248"/>
      <c r="G332" s="248"/>
      <c r="H332" s="248"/>
      <c r="I332" s="248"/>
      <c r="J332" s="248"/>
      <c r="K332" s="248"/>
      <c r="L332" s="248"/>
      <c r="M332" s="248"/>
      <c r="N332" s="248"/>
      <c r="O332" s="248"/>
      <c r="P332" s="248"/>
      <c r="Q332" s="248"/>
      <c r="R332" s="248"/>
      <c r="S332" s="248"/>
      <c r="T332" s="248"/>
      <c r="U332" s="248"/>
      <c r="V332" s="248"/>
      <c r="W332" s="248"/>
      <c r="X332" s="248"/>
      <c r="Y332" s="248"/>
      <c r="Z332" s="248"/>
      <c r="AA332" s="248"/>
      <c r="AB332" s="248"/>
    </row>
    <row r="333" spans="2:28" ht="15.75">
      <c r="B333" s="248"/>
      <c r="C333" s="248"/>
      <c r="D333" s="248"/>
      <c r="E333" s="248"/>
      <c r="F333" s="248"/>
      <c r="G333" s="248"/>
      <c r="H333" s="248"/>
      <c r="I333" s="248"/>
      <c r="J333" s="248"/>
      <c r="K333" s="248"/>
      <c r="L333" s="248"/>
      <c r="M333" s="248"/>
      <c r="N333" s="248"/>
      <c r="O333" s="248"/>
      <c r="P333" s="248"/>
      <c r="Q333" s="248"/>
      <c r="R333" s="248"/>
      <c r="S333" s="248"/>
      <c r="T333" s="248"/>
      <c r="U333" s="248"/>
      <c r="V333" s="248"/>
      <c r="W333" s="248"/>
      <c r="X333" s="248"/>
      <c r="Y333" s="248"/>
      <c r="Z333" s="248"/>
      <c r="AA333" s="248"/>
      <c r="AB333" s="248"/>
    </row>
    <row r="334" spans="2:28" ht="15.75">
      <c r="B334" s="248"/>
      <c r="C334" s="248"/>
      <c r="D334" s="248"/>
      <c r="E334" s="248"/>
      <c r="F334" s="248"/>
      <c r="G334" s="248"/>
      <c r="H334" s="248"/>
      <c r="I334" s="248"/>
      <c r="J334" s="248"/>
      <c r="K334" s="248"/>
      <c r="L334" s="248"/>
      <c r="M334" s="248"/>
      <c r="N334" s="248"/>
      <c r="O334" s="248"/>
      <c r="P334" s="248"/>
      <c r="Q334" s="248"/>
      <c r="R334" s="248"/>
      <c r="S334" s="248"/>
      <c r="T334" s="248"/>
      <c r="U334" s="248"/>
      <c r="V334" s="248"/>
      <c r="W334" s="248"/>
      <c r="X334" s="248"/>
      <c r="Y334" s="248"/>
      <c r="Z334" s="248"/>
      <c r="AA334" s="248"/>
      <c r="AB334" s="248"/>
    </row>
    <row r="335" spans="2:28" ht="15.75">
      <c r="B335" s="248"/>
      <c r="C335" s="248"/>
      <c r="D335" s="248"/>
      <c r="E335" s="248"/>
      <c r="F335" s="248"/>
      <c r="G335" s="248"/>
      <c r="H335" s="248"/>
      <c r="I335" s="248"/>
      <c r="J335" s="248"/>
      <c r="K335" s="248"/>
      <c r="L335" s="248"/>
      <c r="M335" s="248"/>
      <c r="N335" s="248"/>
      <c r="O335" s="248"/>
      <c r="P335" s="248"/>
      <c r="Q335" s="248"/>
      <c r="R335" s="248"/>
      <c r="S335" s="248"/>
      <c r="T335" s="248"/>
      <c r="U335" s="248"/>
      <c r="V335" s="248"/>
      <c r="W335" s="248"/>
      <c r="X335" s="248"/>
      <c r="Y335" s="248"/>
      <c r="Z335" s="248"/>
      <c r="AA335" s="248"/>
      <c r="AB335" s="248"/>
    </row>
    <row r="336" spans="2:28" ht="15.75">
      <c r="B336" s="248"/>
      <c r="C336" s="248"/>
      <c r="D336" s="248"/>
      <c r="E336" s="248"/>
      <c r="F336" s="248"/>
      <c r="G336" s="248"/>
      <c r="H336" s="248"/>
      <c r="I336" s="248"/>
      <c r="J336" s="248"/>
      <c r="K336" s="248"/>
      <c r="L336" s="248"/>
      <c r="M336" s="248"/>
      <c r="N336" s="248"/>
      <c r="O336" s="248"/>
      <c r="P336" s="248"/>
      <c r="Q336" s="248"/>
      <c r="R336" s="248"/>
      <c r="S336" s="248"/>
      <c r="T336" s="248"/>
      <c r="U336" s="248"/>
      <c r="V336" s="248"/>
      <c r="W336" s="248"/>
      <c r="X336" s="248"/>
      <c r="Y336" s="248"/>
      <c r="Z336" s="248"/>
      <c r="AA336" s="248"/>
      <c r="AB336" s="248"/>
    </row>
    <row r="337" spans="2:28" ht="15.75">
      <c r="B337" s="248"/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M337" s="248"/>
      <c r="N337" s="248"/>
      <c r="O337" s="248"/>
      <c r="P337" s="248"/>
      <c r="Q337" s="248"/>
      <c r="R337" s="248"/>
      <c r="S337" s="248"/>
      <c r="T337" s="248"/>
      <c r="U337" s="248"/>
      <c r="V337" s="248"/>
      <c r="W337" s="248"/>
      <c r="X337" s="248"/>
      <c r="Y337" s="248"/>
      <c r="Z337" s="248"/>
      <c r="AA337" s="248"/>
      <c r="AB337" s="248"/>
    </row>
    <row r="338" spans="2:28" ht="15.75">
      <c r="B338" s="248"/>
      <c r="C338" s="248"/>
      <c r="D338" s="248"/>
      <c r="E338" s="248"/>
      <c r="F338" s="248"/>
      <c r="G338" s="248"/>
      <c r="H338" s="248"/>
      <c r="I338" s="248"/>
      <c r="J338" s="248"/>
      <c r="K338" s="248"/>
      <c r="L338" s="248"/>
      <c r="M338" s="248"/>
      <c r="N338" s="248"/>
      <c r="O338" s="248"/>
      <c r="P338" s="248"/>
      <c r="Q338" s="248"/>
      <c r="R338" s="248"/>
      <c r="S338" s="248"/>
      <c r="T338" s="248"/>
      <c r="U338" s="248"/>
      <c r="V338" s="248"/>
      <c r="W338" s="248"/>
      <c r="X338" s="248"/>
      <c r="Y338" s="248"/>
      <c r="Z338" s="248"/>
      <c r="AA338" s="248"/>
      <c r="AB338" s="248"/>
    </row>
    <row r="339" spans="2:28" ht="15.75">
      <c r="B339" s="248"/>
      <c r="C339" s="248"/>
      <c r="D339" s="248"/>
      <c r="E339" s="248"/>
      <c r="F339" s="248"/>
      <c r="G339" s="248"/>
      <c r="H339" s="248"/>
      <c r="I339" s="248"/>
      <c r="J339" s="248"/>
      <c r="K339" s="248"/>
      <c r="L339" s="248"/>
      <c r="M339" s="248"/>
      <c r="N339" s="248"/>
      <c r="O339" s="248"/>
      <c r="P339" s="248"/>
      <c r="Q339" s="248"/>
      <c r="R339" s="248"/>
      <c r="S339" s="248"/>
      <c r="T339" s="248"/>
      <c r="U339" s="248"/>
      <c r="V339" s="248"/>
      <c r="W339" s="248"/>
      <c r="X339" s="248"/>
      <c r="Y339" s="248"/>
      <c r="Z339" s="248"/>
      <c r="AA339" s="248"/>
      <c r="AB339" s="248"/>
    </row>
    <row r="340" spans="2:28" ht="15.75">
      <c r="B340" s="248"/>
      <c r="C340" s="248"/>
      <c r="D340" s="248"/>
      <c r="E340" s="248"/>
      <c r="F340" s="248"/>
      <c r="G340" s="248"/>
      <c r="H340" s="248"/>
      <c r="I340" s="248"/>
      <c r="J340" s="248"/>
      <c r="K340" s="248"/>
      <c r="L340" s="248"/>
      <c r="M340" s="248"/>
      <c r="N340" s="248"/>
      <c r="O340" s="248"/>
      <c r="P340" s="248"/>
      <c r="Q340" s="248"/>
      <c r="R340" s="248"/>
      <c r="S340" s="248"/>
      <c r="T340" s="248"/>
      <c r="U340" s="248"/>
      <c r="V340" s="248"/>
      <c r="W340" s="248"/>
      <c r="X340" s="248"/>
      <c r="Y340" s="248"/>
      <c r="Z340" s="248"/>
      <c r="AA340" s="248"/>
      <c r="AB340" s="248"/>
    </row>
    <row r="341" spans="2:28" ht="15.75">
      <c r="B341" s="248"/>
      <c r="C341" s="248"/>
      <c r="D341" s="248"/>
      <c r="E341" s="248"/>
      <c r="F341" s="248"/>
      <c r="G341" s="248"/>
      <c r="H341" s="248"/>
      <c r="I341" s="248"/>
      <c r="J341" s="248"/>
      <c r="K341" s="248"/>
      <c r="L341" s="248"/>
      <c r="M341" s="248"/>
      <c r="N341" s="248"/>
      <c r="O341" s="248"/>
      <c r="P341" s="248"/>
      <c r="Q341" s="248"/>
      <c r="R341" s="248"/>
      <c r="S341" s="248"/>
      <c r="T341" s="248"/>
      <c r="U341" s="248"/>
      <c r="V341" s="248"/>
      <c r="W341" s="248"/>
      <c r="X341" s="248"/>
      <c r="Y341" s="248"/>
      <c r="Z341" s="248"/>
      <c r="AA341" s="248"/>
      <c r="AB341" s="248"/>
    </row>
    <row r="342" spans="2:28" ht="15.75">
      <c r="B342" s="248"/>
      <c r="C342" s="248"/>
      <c r="D342" s="248"/>
      <c r="E342" s="248"/>
      <c r="F342" s="248"/>
      <c r="G342" s="248"/>
      <c r="H342" s="248"/>
      <c r="I342" s="248"/>
      <c r="J342" s="248"/>
      <c r="K342" s="248"/>
      <c r="L342" s="248"/>
      <c r="M342" s="248"/>
      <c r="N342" s="248"/>
      <c r="O342" s="248"/>
      <c r="P342" s="248"/>
      <c r="Q342" s="248"/>
      <c r="R342" s="248"/>
      <c r="S342" s="248"/>
      <c r="T342" s="248"/>
      <c r="U342" s="248"/>
      <c r="V342" s="248"/>
      <c r="W342" s="248"/>
      <c r="X342" s="248"/>
      <c r="Y342" s="248"/>
      <c r="Z342" s="248"/>
      <c r="AA342" s="248"/>
      <c r="AB342" s="248"/>
    </row>
    <row r="343" spans="2:28" ht="15.75">
      <c r="B343" s="248"/>
      <c r="C343" s="248"/>
      <c r="D343" s="248"/>
      <c r="E343" s="248"/>
      <c r="F343" s="248"/>
      <c r="G343" s="248"/>
      <c r="H343" s="248"/>
      <c r="I343" s="248"/>
      <c r="J343" s="248"/>
      <c r="K343" s="248"/>
      <c r="L343" s="248"/>
      <c r="M343" s="248"/>
      <c r="N343" s="248"/>
      <c r="O343" s="248"/>
      <c r="P343" s="248"/>
      <c r="Q343" s="248"/>
      <c r="R343" s="248"/>
      <c r="S343" s="248"/>
      <c r="T343" s="248"/>
      <c r="U343" s="248"/>
      <c r="V343" s="248"/>
      <c r="W343" s="248"/>
      <c r="X343" s="248"/>
      <c r="Y343" s="248"/>
      <c r="Z343" s="248"/>
      <c r="AA343" s="248"/>
      <c r="AB343" s="248"/>
    </row>
    <row r="344" spans="2:28" ht="15.75">
      <c r="B344" s="248"/>
      <c r="C344" s="248"/>
      <c r="D344" s="248"/>
      <c r="E344" s="248"/>
      <c r="F344" s="248"/>
      <c r="G344" s="248"/>
      <c r="H344" s="248"/>
      <c r="I344" s="248"/>
      <c r="J344" s="248"/>
      <c r="K344" s="248"/>
      <c r="L344" s="248"/>
      <c r="M344" s="248"/>
      <c r="N344" s="248"/>
      <c r="O344" s="248"/>
      <c r="P344" s="248"/>
      <c r="Q344" s="248"/>
      <c r="R344" s="248"/>
      <c r="S344" s="248"/>
      <c r="T344" s="248"/>
      <c r="U344" s="248"/>
      <c r="V344" s="248"/>
      <c r="W344" s="248"/>
      <c r="X344" s="248"/>
      <c r="Y344" s="248"/>
      <c r="Z344" s="248"/>
      <c r="AA344" s="248"/>
      <c r="AB344" s="248"/>
    </row>
    <row r="345" spans="2:28" ht="15.75">
      <c r="B345" s="248"/>
      <c r="C345" s="248"/>
      <c r="D345" s="248"/>
      <c r="E345" s="248"/>
      <c r="F345" s="248"/>
      <c r="G345" s="248"/>
      <c r="H345" s="248"/>
      <c r="I345" s="248"/>
      <c r="J345" s="248"/>
      <c r="K345" s="248"/>
      <c r="L345" s="248"/>
      <c r="M345" s="248"/>
      <c r="N345" s="248"/>
      <c r="O345" s="248"/>
      <c r="P345" s="248"/>
      <c r="Q345" s="248"/>
      <c r="R345" s="248"/>
      <c r="S345" s="248"/>
      <c r="T345" s="248"/>
      <c r="U345" s="248"/>
      <c r="V345" s="248"/>
      <c r="W345" s="248"/>
      <c r="X345" s="248"/>
      <c r="Y345" s="248"/>
      <c r="Z345" s="248"/>
      <c r="AA345" s="248"/>
      <c r="AB345" s="248"/>
    </row>
    <row r="346" spans="2:28" ht="15.75">
      <c r="B346" s="248"/>
      <c r="C346" s="248"/>
      <c r="D346" s="248"/>
      <c r="E346" s="248"/>
      <c r="F346" s="248"/>
      <c r="G346" s="248"/>
      <c r="H346" s="248"/>
      <c r="I346" s="248"/>
      <c r="J346" s="248"/>
      <c r="K346" s="248"/>
      <c r="L346" s="248"/>
      <c r="M346" s="248"/>
      <c r="N346" s="248"/>
      <c r="O346" s="248"/>
      <c r="P346" s="248"/>
      <c r="Q346" s="248"/>
      <c r="R346" s="248"/>
      <c r="S346" s="248"/>
      <c r="T346" s="248"/>
      <c r="U346" s="248"/>
      <c r="V346" s="248"/>
      <c r="W346" s="248"/>
      <c r="X346" s="248"/>
      <c r="Y346" s="248"/>
      <c r="Z346" s="248"/>
      <c r="AA346" s="248"/>
      <c r="AB346" s="248"/>
    </row>
    <row r="347" spans="2:28" ht="15.75">
      <c r="B347" s="248"/>
      <c r="C347" s="248"/>
      <c r="D347" s="248"/>
      <c r="E347" s="248"/>
      <c r="F347" s="248"/>
      <c r="G347" s="248"/>
      <c r="H347" s="248"/>
      <c r="I347" s="248"/>
      <c r="J347" s="248"/>
      <c r="K347" s="248"/>
      <c r="L347" s="248"/>
      <c r="M347" s="248"/>
      <c r="N347" s="248"/>
      <c r="O347" s="248"/>
      <c r="P347" s="248"/>
      <c r="Q347" s="248"/>
      <c r="R347" s="248"/>
      <c r="S347" s="248"/>
      <c r="T347" s="248"/>
      <c r="U347" s="248"/>
      <c r="V347" s="248"/>
      <c r="W347" s="248"/>
      <c r="X347" s="248"/>
      <c r="Y347" s="248"/>
      <c r="Z347" s="248"/>
      <c r="AA347" s="248"/>
      <c r="AB347" s="248"/>
    </row>
    <row r="348" spans="2:28" ht="15.75">
      <c r="B348" s="248"/>
      <c r="C348" s="248"/>
      <c r="D348" s="248"/>
      <c r="E348" s="248"/>
      <c r="F348" s="248"/>
      <c r="G348" s="248"/>
      <c r="H348" s="248"/>
      <c r="I348" s="248"/>
      <c r="J348" s="248"/>
      <c r="K348" s="248"/>
      <c r="L348" s="248"/>
      <c r="M348" s="248"/>
      <c r="N348" s="248"/>
      <c r="O348" s="248"/>
      <c r="P348" s="248"/>
      <c r="Q348" s="248"/>
      <c r="R348" s="248"/>
      <c r="S348" s="248"/>
      <c r="T348" s="248"/>
      <c r="U348" s="248"/>
      <c r="V348" s="248"/>
      <c r="W348" s="248"/>
      <c r="X348" s="248"/>
      <c r="Y348" s="248"/>
      <c r="Z348" s="248"/>
      <c r="AA348" s="248"/>
      <c r="AB348" s="248"/>
    </row>
    <row r="349" spans="2:28" ht="15.75">
      <c r="B349" s="248"/>
      <c r="C349" s="248"/>
      <c r="D349" s="248"/>
      <c r="E349" s="248"/>
      <c r="F349" s="248"/>
      <c r="G349" s="248"/>
      <c r="H349" s="248"/>
      <c r="I349" s="248"/>
      <c r="J349" s="248"/>
      <c r="K349" s="248"/>
      <c r="L349" s="248"/>
      <c r="M349" s="248"/>
      <c r="N349" s="248"/>
      <c r="O349" s="248"/>
      <c r="P349" s="248"/>
      <c r="Q349" s="248"/>
      <c r="R349" s="248"/>
      <c r="S349" s="248"/>
      <c r="T349" s="248"/>
      <c r="U349" s="248"/>
      <c r="V349" s="248"/>
      <c r="W349" s="248"/>
      <c r="X349" s="248"/>
      <c r="Y349" s="248"/>
      <c r="Z349" s="248"/>
      <c r="AA349" s="248"/>
      <c r="AB349" s="248"/>
    </row>
    <row r="350" spans="2:28" ht="15.75">
      <c r="B350" s="248"/>
      <c r="C350" s="248"/>
      <c r="D350" s="248"/>
      <c r="E350" s="248"/>
      <c r="F350" s="248"/>
      <c r="G350" s="248"/>
      <c r="H350" s="248"/>
      <c r="I350" s="248"/>
      <c r="J350" s="248"/>
      <c r="K350" s="248"/>
      <c r="L350" s="248"/>
      <c r="M350" s="248"/>
      <c r="N350" s="248"/>
      <c r="O350" s="248"/>
      <c r="P350" s="248"/>
      <c r="Q350" s="248"/>
      <c r="R350" s="248"/>
      <c r="S350" s="248"/>
      <c r="T350" s="248"/>
      <c r="U350" s="248"/>
      <c r="V350" s="248"/>
      <c r="W350" s="248"/>
      <c r="X350" s="248"/>
      <c r="Y350" s="248"/>
      <c r="Z350" s="248"/>
      <c r="AA350" s="248"/>
      <c r="AB350" s="248"/>
    </row>
    <row r="351" spans="2:28" ht="15.75">
      <c r="B351" s="248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M351" s="248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8"/>
      <c r="AA351" s="248"/>
      <c r="AB351" s="248"/>
    </row>
    <row r="352" spans="2:28" ht="15.75">
      <c r="B352" s="248"/>
      <c r="C352" s="248"/>
      <c r="D352" s="248"/>
      <c r="E352" s="248"/>
      <c r="F352" s="248"/>
      <c r="G352" s="248"/>
      <c r="H352" s="248"/>
      <c r="I352" s="248"/>
      <c r="J352" s="248"/>
      <c r="K352" s="248"/>
      <c r="L352" s="248"/>
      <c r="M352" s="248"/>
      <c r="N352" s="248"/>
      <c r="O352" s="248"/>
      <c r="P352" s="248"/>
      <c r="Q352" s="248"/>
      <c r="R352" s="248"/>
      <c r="S352" s="248"/>
      <c r="T352" s="248"/>
      <c r="U352" s="248"/>
      <c r="V352" s="248"/>
      <c r="W352" s="248"/>
      <c r="X352" s="248"/>
      <c r="Y352" s="248"/>
      <c r="Z352" s="248"/>
      <c r="AA352" s="248"/>
      <c r="AB352" s="248"/>
    </row>
    <row r="353" spans="2:28" ht="15.75">
      <c r="B353" s="248"/>
      <c r="C353" s="248"/>
      <c r="D353" s="248"/>
      <c r="E353" s="248"/>
      <c r="F353" s="248"/>
      <c r="G353" s="248"/>
      <c r="H353" s="248"/>
      <c r="I353" s="248"/>
      <c r="J353" s="248"/>
      <c r="K353" s="248"/>
      <c r="L353" s="248"/>
      <c r="M353" s="248"/>
      <c r="N353" s="248"/>
      <c r="O353" s="248"/>
      <c r="P353" s="248"/>
      <c r="Q353" s="248"/>
      <c r="R353" s="248"/>
      <c r="S353" s="248"/>
      <c r="T353" s="248"/>
      <c r="U353" s="248"/>
      <c r="V353" s="248"/>
      <c r="W353" s="248"/>
      <c r="X353" s="248"/>
      <c r="Y353" s="248"/>
      <c r="Z353" s="248"/>
      <c r="AA353" s="248"/>
      <c r="AB353" s="248"/>
    </row>
    <row r="354" spans="2:28" ht="15.75">
      <c r="B354" s="248"/>
      <c r="C354" s="248"/>
      <c r="D354" s="248"/>
      <c r="E354" s="248"/>
      <c r="F354" s="248"/>
      <c r="G354" s="248"/>
      <c r="H354" s="248"/>
      <c r="I354" s="248"/>
      <c r="J354" s="248"/>
      <c r="K354" s="248"/>
      <c r="L354" s="248"/>
      <c r="M354" s="248"/>
      <c r="N354" s="248"/>
      <c r="O354" s="248"/>
      <c r="P354" s="248"/>
      <c r="Q354" s="248"/>
      <c r="R354" s="248"/>
      <c r="S354" s="248"/>
      <c r="T354" s="248"/>
      <c r="U354" s="248"/>
      <c r="V354" s="248"/>
      <c r="W354" s="248"/>
      <c r="X354" s="248"/>
      <c r="Y354" s="248"/>
      <c r="Z354" s="248"/>
      <c r="AA354" s="248"/>
      <c r="AB354" s="248"/>
    </row>
    <row r="355" spans="2:28" ht="15.75">
      <c r="B355" s="248"/>
      <c r="C355" s="248"/>
      <c r="D355" s="248"/>
      <c r="E355" s="248"/>
      <c r="F355" s="248"/>
      <c r="G355" s="248"/>
      <c r="H355" s="248"/>
      <c r="I355" s="248"/>
      <c r="J355" s="248"/>
      <c r="K355" s="248"/>
      <c r="L355" s="248"/>
      <c r="M355" s="248"/>
      <c r="N355" s="248"/>
      <c r="O355" s="248"/>
      <c r="P355" s="248"/>
      <c r="Q355" s="248"/>
      <c r="R355" s="248"/>
      <c r="S355" s="248"/>
      <c r="T355" s="248"/>
      <c r="U355" s="248"/>
      <c r="V355" s="248"/>
      <c r="W355" s="248"/>
      <c r="X355" s="248"/>
      <c r="Y355" s="248"/>
      <c r="Z355" s="248"/>
      <c r="AA355" s="248"/>
      <c r="AB355" s="248"/>
    </row>
    <row r="356" spans="2:28" ht="15.75">
      <c r="B356" s="248"/>
      <c r="C356" s="248"/>
      <c r="D356" s="248"/>
      <c r="E356" s="248"/>
      <c r="F356" s="248"/>
      <c r="G356" s="248"/>
      <c r="H356" s="248"/>
      <c r="I356" s="248"/>
      <c r="J356" s="248"/>
      <c r="K356" s="248"/>
      <c r="L356" s="248"/>
      <c r="M356" s="248"/>
      <c r="N356" s="248"/>
      <c r="O356" s="248"/>
      <c r="P356" s="248"/>
      <c r="Q356" s="248"/>
      <c r="R356" s="248"/>
      <c r="S356" s="248"/>
      <c r="T356" s="248"/>
      <c r="U356" s="248"/>
      <c r="V356" s="248"/>
      <c r="W356" s="248"/>
      <c r="X356" s="248"/>
      <c r="Y356" s="248"/>
      <c r="Z356" s="248"/>
      <c r="AA356" s="248"/>
      <c r="AB356" s="248"/>
    </row>
    <row r="357" spans="2:28" ht="15.75">
      <c r="B357" s="248"/>
      <c r="C357" s="248"/>
      <c r="D357" s="248"/>
      <c r="E357" s="248"/>
      <c r="F357" s="248"/>
      <c r="G357" s="248"/>
      <c r="H357" s="248"/>
      <c r="I357" s="248"/>
      <c r="J357" s="248"/>
      <c r="K357" s="248"/>
      <c r="L357" s="248"/>
      <c r="M357" s="248"/>
      <c r="N357" s="248"/>
      <c r="O357" s="248"/>
      <c r="P357" s="248"/>
      <c r="Q357" s="248"/>
      <c r="R357" s="248"/>
      <c r="S357" s="248"/>
      <c r="T357" s="248"/>
      <c r="U357" s="248"/>
      <c r="V357" s="248"/>
      <c r="W357" s="248"/>
      <c r="X357" s="248"/>
      <c r="Y357" s="248"/>
      <c r="Z357" s="248"/>
      <c r="AA357" s="248"/>
      <c r="AB357" s="248"/>
    </row>
    <row r="358" spans="2:28" ht="15.7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A358" s="248"/>
      <c r="AB358" s="248"/>
    </row>
    <row r="359" spans="2:28" ht="15.7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A359" s="248"/>
      <c r="AB359" s="248"/>
    </row>
    <row r="360" spans="2:28" ht="15.75"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  <c r="AA360" s="248"/>
      <c r="AB360" s="248"/>
    </row>
    <row r="361" spans="2:28" ht="15.75">
      <c r="B361" s="248"/>
      <c r="C361" s="248"/>
      <c r="D361" s="248"/>
      <c r="E361" s="248"/>
      <c r="F361" s="248"/>
      <c r="G361" s="248"/>
      <c r="H361" s="248"/>
      <c r="I361" s="248"/>
      <c r="J361" s="248"/>
      <c r="K361" s="248"/>
      <c r="L361" s="248"/>
      <c r="M361" s="248"/>
      <c r="N361" s="248"/>
      <c r="O361" s="248"/>
      <c r="P361" s="248"/>
      <c r="Q361" s="248"/>
      <c r="R361" s="248"/>
      <c r="S361" s="248"/>
      <c r="T361" s="248"/>
      <c r="U361" s="248"/>
      <c r="V361" s="248"/>
      <c r="W361" s="248"/>
      <c r="X361" s="248"/>
      <c r="Y361" s="248"/>
      <c r="Z361" s="248"/>
      <c r="AA361" s="248"/>
      <c r="AB361" s="248"/>
    </row>
    <row r="362" spans="2:28" ht="15.75">
      <c r="B362" s="248"/>
      <c r="C362" s="248"/>
      <c r="D362" s="248"/>
      <c r="E362" s="248"/>
      <c r="F362" s="248"/>
      <c r="G362" s="248"/>
      <c r="H362" s="248"/>
      <c r="I362" s="248"/>
      <c r="J362" s="248"/>
      <c r="K362" s="248"/>
      <c r="L362" s="248"/>
      <c r="M362" s="248"/>
      <c r="N362" s="248"/>
      <c r="O362" s="248"/>
      <c r="P362" s="248"/>
      <c r="Q362" s="248"/>
      <c r="R362" s="248"/>
      <c r="S362" s="248"/>
      <c r="T362" s="248"/>
      <c r="U362" s="248"/>
      <c r="V362" s="248"/>
      <c r="W362" s="248"/>
      <c r="X362" s="248"/>
      <c r="Y362" s="248"/>
      <c r="Z362" s="248"/>
      <c r="AA362" s="248"/>
      <c r="AB362" s="248"/>
    </row>
    <row r="363" spans="2:28" ht="15.75">
      <c r="B363" s="248"/>
      <c r="C363" s="248"/>
      <c r="D363" s="248"/>
      <c r="E363" s="248"/>
      <c r="F363" s="248"/>
      <c r="G363" s="248"/>
      <c r="H363" s="248"/>
      <c r="I363" s="248"/>
      <c r="J363" s="248"/>
      <c r="K363" s="248"/>
      <c r="L363" s="248"/>
      <c r="M363" s="248"/>
      <c r="N363" s="248"/>
      <c r="O363" s="248"/>
      <c r="P363" s="248"/>
      <c r="Q363" s="248"/>
      <c r="R363" s="248"/>
      <c r="S363" s="248"/>
      <c r="T363" s="248"/>
      <c r="U363" s="248"/>
      <c r="V363" s="248"/>
      <c r="W363" s="248"/>
      <c r="X363" s="248"/>
      <c r="Y363" s="248"/>
      <c r="Z363" s="248"/>
      <c r="AA363" s="248"/>
      <c r="AB363" s="248"/>
    </row>
    <row r="364" spans="2:28" ht="15.75">
      <c r="B364" s="248"/>
      <c r="C364" s="248"/>
      <c r="D364" s="248"/>
      <c r="E364" s="248"/>
      <c r="F364" s="248"/>
      <c r="G364" s="248"/>
      <c r="H364" s="248"/>
      <c r="I364" s="248"/>
      <c r="J364" s="248"/>
      <c r="K364" s="248"/>
      <c r="L364" s="248"/>
      <c r="M364" s="248"/>
      <c r="N364" s="248"/>
      <c r="O364" s="248"/>
      <c r="P364" s="248"/>
      <c r="Q364" s="248"/>
      <c r="R364" s="248"/>
      <c r="S364" s="248"/>
      <c r="T364" s="248"/>
      <c r="U364" s="248"/>
      <c r="V364" s="248"/>
      <c r="W364" s="248"/>
      <c r="X364" s="248"/>
      <c r="Y364" s="248"/>
      <c r="Z364" s="248"/>
      <c r="AA364" s="248"/>
      <c r="AB364" s="248"/>
    </row>
    <row r="365" spans="2:28" ht="15.75">
      <c r="B365" s="248"/>
      <c r="C365" s="248"/>
      <c r="D365" s="248"/>
      <c r="E365" s="248"/>
      <c r="F365" s="248"/>
      <c r="G365" s="248"/>
      <c r="H365" s="248"/>
      <c r="I365" s="248"/>
      <c r="J365" s="248"/>
      <c r="K365" s="248"/>
      <c r="L365" s="248"/>
      <c r="M365" s="248"/>
      <c r="N365" s="248"/>
      <c r="O365" s="248"/>
      <c r="P365" s="248"/>
      <c r="Q365" s="248"/>
      <c r="R365" s="248"/>
      <c r="S365" s="248"/>
      <c r="T365" s="248"/>
      <c r="U365" s="248"/>
      <c r="V365" s="248"/>
      <c r="W365" s="248"/>
      <c r="X365" s="248"/>
      <c r="Y365" s="248"/>
      <c r="Z365" s="248"/>
      <c r="AA365" s="248"/>
      <c r="AB365" s="248"/>
    </row>
    <row r="366" spans="2:28" ht="15.75">
      <c r="B366" s="248"/>
      <c r="C366" s="248"/>
      <c r="D366" s="248"/>
      <c r="E366" s="248"/>
      <c r="F366" s="248"/>
      <c r="G366" s="248"/>
      <c r="H366" s="248"/>
      <c r="I366" s="248"/>
      <c r="J366" s="248"/>
      <c r="K366" s="248"/>
      <c r="L366" s="248"/>
      <c r="M366" s="248"/>
      <c r="N366" s="248"/>
      <c r="O366" s="248"/>
      <c r="P366" s="248"/>
      <c r="Q366" s="248"/>
      <c r="R366" s="248"/>
      <c r="S366" s="248"/>
      <c r="T366" s="248"/>
      <c r="U366" s="248"/>
      <c r="V366" s="248"/>
      <c r="W366" s="248"/>
      <c r="X366" s="248"/>
      <c r="Y366" s="248"/>
      <c r="Z366" s="248"/>
      <c r="AA366" s="248"/>
      <c r="AB366" s="248"/>
    </row>
    <row r="367" spans="2:28" ht="15.75">
      <c r="B367" s="248"/>
      <c r="C367" s="248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</row>
    <row r="368" spans="2:28" ht="15.75">
      <c r="B368" s="248"/>
      <c r="C368" s="248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</row>
    <row r="369" spans="2:28" ht="15.75">
      <c r="B369" s="248"/>
      <c r="C369" s="248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</row>
    <row r="370" spans="2:28" ht="15.75">
      <c r="B370" s="248"/>
      <c r="C370" s="248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</row>
    <row r="371" spans="2:28" ht="15.75">
      <c r="B371" s="248"/>
      <c r="C371" s="248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</row>
    <row r="372" spans="2:28" ht="15.75">
      <c r="B372" s="248"/>
      <c r="C372" s="248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</row>
    <row r="373" spans="2:28" ht="15.75">
      <c r="B373" s="248"/>
      <c r="C373" s="248"/>
      <c r="D373" s="248"/>
      <c r="E373" s="248"/>
      <c r="F373" s="248"/>
      <c r="G373" s="248"/>
      <c r="H373" s="248"/>
      <c r="I373" s="248"/>
      <c r="J373" s="248"/>
      <c r="K373" s="248"/>
      <c r="L373" s="248"/>
      <c r="M373" s="248"/>
      <c r="N373" s="248"/>
      <c r="O373" s="248"/>
      <c r="P373" s="248"/>
      <c r="Q373" s="248"/>
      <c r="R373" s="248"/>
      <c r="S373" s="248"/>
      <c r="T373" s="248"/>
      <c r="U373" s="248"/>
      <c r="V373" s="248"/>
      <c r="W373" s="248"/>
      <c r="X373" s="248"/>
      <c r="Y373" s="248"/>
      <c r="Z373" s="248"/>
      <c r="AA373" s="248"/>
      <c r="AB373" s="248"/>
    </row>
    <row r="374" spans="2:28" ht="15.75">
      <c r="B374" s="248"/>
      <c r="C374" s="248"/>
      <c r="D374" s="248"/>
      <c r="E374" s="248"/>
      <c r="F374" s="248"/>
      <c r="G374" s="248"/>
      <c r="H374" s="248"/>
      <c r="I374" s="248"/>
      <c r="J374" s="248"/>
      <c r="K374" s="248"/>
      <c r="L374" s="248"/>
      <c r="M374" s="248"/>
      <c r="N374" s="248"/>
      <c r="O374" s="248"/>
      <c r="P374" s="248"/>
      <c r="Q374" s="248"/>
      <c r="R374" s="248"/>
      <c r="S374" s="248"/>
      <c r="T374" s="248"/>
      <c r="U374" s="248"/>
      <c r="V374" s="248"/>
      <c r="W374" s="248"/>
      <c r="X374" s="248"/>
      <c r="Y374" s="248"/>
      <c r="Z374" s="248"/>
      <c r="AA374" s="248"/>
      <c r="AB374" s="248"/>
    </row>
    <row r="375" spans="2:28" ht="15.75">
      <c r="B375" s="248"/>
      <c r="C375" s="248"/>
      <c r="D375" s="248"/>
      <c r="E375" s="248"/>
      <c r="F375" s="248"/>
      <c r="G375" s="248"/>
      <c r="H375" s="248"/>
      <c r="I375" s="248"/>
      <c r="J375" s="248"/>
      <c r="K375" s="248"/>
      <c r="L375" s="248"/>
      <c r="M375" s="248"/>
      <c r="N375" s="248"/>
      <c r="O375" s="248"/>
      <c r="P375" s="248"/>
      <c r="Q375" s="248"/>
      <c r="R375" s="248"/>
      <c r="S375" s="248"/>
      <c r="T375" s="248"/>
      <c r="U375" s="248"/>
      <c r="V375" s="248"/>
      <c r="W375" s="248"/>
      <c r="X375" s="248"/>
      <c r="Y375" s="248"/>
      <c r="Z375" s="248"/>
      <c r="AA375" s="248"/>
      <c r="AB375" s="248"/>
    </row>
    <row r="376" spans="2:28" ht="15.75">
      <c r="B376" s="248"/>
      <c r="C376" s="248"/>
      <c r="D376" s="248"/>
      <c r="E376" s="248"/>
      <c r="F376" s="248"/>
      <c r="G376" s="248"/>
      <c r="H376" s="248"/>
      <c r="I376" s="248"/>
      <c r="J376" s="248"/>
      <c r="K376" s="248"/>
      <c r="L376" s="248"/>
      <c r="M376" s="248"/>
      <c r="N376" s="248"/>
      <c r="O376" s="248"/>
      <c r="P376" s="248"/>
      <c r="Q376" s="248"/>
      <c r="R376" s="248"/>
      <c r="S376" s="248"/>
      <c r="T376" s="248"/>
      <c r="U376" s="248"/>
      <c r="V376" s="248"/>
      <c r="W376" s="248"/>
      <c r="X376" s="248"/>
      <c r="Y376" s="248"/>
      <c r="Z376" s="248"/>
      <c r="AA376" s="248"/>
      <c r="AB376" s="248"/>
    </row>
    <row r="377" spans="2:28" ht="15.75">
      <c r="B377" s="248"/>
      <c r="C377" s="248"/>
      <c r="D377" s="248"/>
      <c r="E377" s="248"/>
      <c r="F377" s="248"/>
      <c r="G377" s="248"/>
      <c r="H377" s="248"/>
      <c r="I377" s="248"/>
      <c r="J377" s="248"/>
      <c r="K377" s="248"/>
      <c r="L377" s="248"/>
      <c r="M377" s="248"/>
      <c r="N377" s="248"/>
      <c r="O377" s="248"/>
      <c r="P377" s="248"/>
      <c r="Q377" s="248"/>
      <c r="R377" s="248"/>
      <c r="S377" s="248"/>
      <c r="T377" s="248"/>
      <c r="U377" s="248"/>
      <c r="V377" s="248"/>
      <c r="W377" s="248"/>
      <c r="X377" s="248"/>
      <c r="Y377" s="248"/>
      <c r="Z377" s="248"/>
      <c r="AA377" s="248"/>
      <c r="AB377" s="248"/>
    </row>
    <row r="378" spans="2:28" ht="15.75">
      <c r="B378" s="248"/>
      <c r="C378" s="248"/>
      <c r="D378" s="248"/>
      <c r="E378" s="248"/>
      <c r="F378" s="248"/>
      <c r="G378" s="248"/>
      <c r="H378" s="248"/>
      <c r="I378" s="248"/>
      <c r="J378" s="248"/>
      <c r="K378" s="248"/>
      <c r="L378" s="248"/>
      <c r="M378" s="248"/>
      <c r="N378" s="248"/>
      <c r="O378" s="248"/>
      <c r="P378" s="248"/>
      <c r="Q378" s="248"/>
      <c r="R378" s="248"/>
      <c r="S378" s="248"/>
      <c r="T378" s="248"/>
      <c r="U378" s="248"/>
      <c r="V378" s="248"/>
      <c r="W378" s="248"/>
      <c r="X378" s="248"/>
      <c r="Y378" s="248"/>
      <c r="Z378" s="248"/>
      <c r="AA378" s="248"/>
      <c r="AB378" s="248"/>
    </row>
    <row r="379" spans="2:28" ht="15.75">
      <c r="B379" s="248"/>
      <c r="C379" s="248"/>
      <c r="D379" s="248"/>
      <c r="E379" s="248"/>
      <c r="F379" s="248"/>
      <c r="G379" s="248"/>
      <c r="H379" s="248"/>
      <c r="I379" s="248"/>
      <c r="J379" s="248"/>
      <c r="K379" s="248"/>
      <c r="L379" s="248"/>
      <c r="M379" s="248"/>
      <c r="N379" s="248"/>
      <c r="O379" s="248"/>
      <c r="P379" s="248"/>
      <c r="Q379" s="248"/>
      <c r="R379" s="248"/>
      <c r="S379" s="248"/>
      <c r="T379" s="248"/>
      <c r="U379" s="248"/>
      <c r="V379" s="248"/>
      <c r="W379" s="248"/>
      <c r="X379" s="248"/>
      <c r="Y379" s="248"/>
      <c r="Z379" s="248"/>
      <c r="AA379" s="248"/>
      <c r="AB379" s="248"/>
    </row>
    <row r="380" spans="2:28" ht="15.75">
      <c r="B380" s="248"/>
      <c r="C380" s="248"/>
      <c r="D380" s="248"/>
      <c r="E380" s="248"/>
      <c r="F380" s="248"/>
      <c r="G380" s="248"/>
      <c r="H380" s="248"/>
      <c r="I380" s="248"/>
      <c r="J380" s="248"/>
      <c r="K380" s="248"/>
      <c r="L380" s="248"/>
      <c r="M380" s="248"/>
      <c r="N380" s="248"/>
      <c r="O380" s="248"/>
      <c r="P380" s="248"/>
      <c r="Q380" s="248"/>
      <c r="R380" s="248"/>
      <c r="S380" s="248"/>
      <c r="T380" s="248"/>
      <c r="U380" s="248"/>
      <c r="V380" s="248"/>
      <c r="W380" s="248"/>
      <c r="X380" s="248"/>
      <c r="Y380" s="248"/>
      <c r="Z380" s="248"/>
      <c r="AA380" s="248"/>
      <c r="AB380" s="248"/>
    </row>
    <row r="381" spans="2:28" ht="15.75">
      <c r="B381" s="248"/>
      <c r="C381" s="248"/>
      <c r="D381" s="248"/>
      <c r="E381" s="248"/>
      <c r="F381" s="248"/>
      <c r="G381" s="248"/>
      <c r="H381" s="248"/>
      <c r="I381" s="248"/>
      <c r="J381" s="248"/>
      <c r="K381" s="248"/>
      <c r="L381" s="248"/>
      <c r="M381" s="248"/>
      <c r="N381" s="248"/>
      <c r="O381" s="248"/>
      <c r="P381" s="248"/>
      <c r="Q381" s="248"/>
      <c r="R381" s="248"/>
      <c r="S381" s="248"/>
      <c r="T381" s="248"/>
      <c r="U381" s="248"/>
      <c r="V381" s="248"/>
      <c r="W381" s="248"/>
      <c r="X381" s="248"/>
      <c r="Y381" s="248"/>
      <c r="Z381" s="248"/>
      <c r="AA381" s="248"/>
      <c r="AB381" s="248"/>
    </row>
    <row r="382" spans="2:28" ht="15.75">
      <c r="B382" s="248"/>
      <c r="C382" s="248"/>
      <c r="D382" s="248"/>
      <c r="E382" s="248"/>
      <c r="F382" s="248"/>
      <c r="G382" s="248"/>
      <c r="H382" s="248"/>
      <c r="I382" s="248"/>
      <c r="J382" s="248"/>
      <c r="K382" s="248"/>
      <c r="L382" s="248"/>
      <c r="M382" s="248"/>
      <c r="N382" s="248"/>
      <c r="O382" s="248"/>
      <c r="P382" s="248"/>
      <c r="Q382" s="248"/>
      <c r="R382" s="248"/>
      <c r="S382" s="248"/>
      <c r="T382" s="248"/>
      <c r="U382" s="248"/>
      <c r="V382" s="248"/>
      <c r="W382" s="248"/>
      <c r="X382" s="248"/>
      <c r="Y382" s="248"/>
      <c r="Z382" s="248"/>
      <c r="AA382" s="248"/>
      <c r="AB382" s="248"/>
    </row>
    <row r="383" spans="2:28" ht="15.75">
      <c r="B383" s="248"/>
      <c r="C383" s="248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</row>
    <row r="384" spans="2:28" ht="15.75">
      <c r="B384" s="248"/>
      <c r="C384" s="248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</row>
    <row r="385" spans="2:28" ht="15.75">
      <c r="B385" s="248"/>
      <c r="C385" s="248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</row>
    <row r="386" spans="2:28" ht="15.75">
      <c r="B386" s="248"/>
      <c r="C386" s="248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</row>
    <row r="387" spans="2:28" ht="15.75">
      <c r="B387" s="248"/>
      <c r="C387" s="248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</row>
    <row r="388" spans="2:28" ht="15.75">
      <c r="B388" s="248"/>
      <c r="C388" s="248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</row>
    <row r="389" spans="2:28" ht="15.75">
      <c r="B389" s="248"/>
      <c r="C389" s="248"/>
      <c r="D389" s="248"/>
      <c r="E389" s="248"/>
      <c r="F389" s="248"/>
      <c r="G389" s="248"/>
      <c r="H389" s="248"/>
      <c r="I389" s="248"/>
      <c r="J389" s="248"/>
      <c r="K389" s="248"/>
      <c r="L389" s="248"/>
      <c r="M389" s="248"/>
      <c r="N389" s="248"/>
      <c r="O389" s="248"/>
      <c r="P389" s="248"/>
      <c r="Q389" s="248"/>
      <c r="R389" s="248"/>
      <c r="S389" s="248"/>
      <c r="T389" s="248"/>
      <c r="U389" s="248"/>
      <c r="V389" s="248"/>
      <c r="W389" s="248"/>
      <c r="X389" s="248"/>
      <c r="Y389" s="248"/>
      <c r="Z389" s="248"/>
      <c r="AA389" s="248"/>
      <c r="AB389" s="248"/>
    </row>
    <row r="390" spans="2:28" ht="15.75"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M390" s="248"/>
      <c r="N390" s="248"/>
      <c r="O390" s="248"/>
      <c r="P390" s="248"/>
      <c r="Q390" s="248"/>
      <c r="R390" s="248"/>
      <c r="S390" s="248"/>
      <c r="T390" s="248"/>
      <c r="U390" s="248"/>
      <c r="V390" s="248"/>
      <c r="W390" s="248"/>
      <c r="X390" s="248"/>
      <c r="Y390" s="248"/>
      <c r="Z390" s="248"/>
      <c r="AA390" s="248"/>
      <c r="AB390" s="248"/>
    </row>
    <row r="391" spans="2:28" ht="15.75">
      <c r="B391" s="248"/>
      <c r="C391" s="248"/>
      <c r="D391" s="248"/>
      <c r="E391" s="248"/>
      <c r="F391" s="248"/>
      <c r="G391" s="248"/>
      <c r="H391" s="248"/>
      <c r="I391" s="248"/>
      <c r="J391" s="248"/>
      <c r="K391" s="248"/>
      <c r="L391" s="248"/>
      <c r="M391" s="248"/>
      <c r="N391" s="248"/>
      <c r="O391" s="248"/>
      <c r="P391" s="248"/>
      <c r="Q391" s="248"/>
      <c r="R391" s="248"/>
      <c r="S391" s="248"/>
      <c r="T391" s="248"/>
      <c r="U391" s="248"/>
      <c r="V391" s="248"/>
      <c r="W391" s="248"/>
      <c r="X391" s="248"/>
      <c r="Y391" s="248"/>
      <c r="Z391" s="248"/>
      <c r="AA391" s="248"/>
      <c r="AB391" s="248"/>
    </row>
    <row r="392" spans="2:28" ht="15.75">
      <c r="B392" s="248"/>
      <c r="C392" s="248"/>
      <c r="D392" s="248"/>
      <c r="E392" s="248"/>
      <c r="F392" s="248"/>
      <c r="G392" s="248"/>
      <c r="H392" s="248"/>
      <c r="I392" s="248"/>
      <c r="J392" s="248"/>
      <c r="K392" s="248"/>
      <c r="L392" s="248"/>
      <c r="M392" s="248"/>
      <c r="N392" s="248"/>
      <c r="O392" s="248"/>
      <c r="P392" s="248"/>
      <c r="Q392" s="248"/>
      <c r="R392" s="248"/>
      <c r="S392" s="248"/>
      <c r="T392" s="248"/>
      <c r="U392" s="248"/>
      <c r="V392" s="248"/>
      <c r="W392" s="248"/>
      <c r="X392" s="248"/>
      <c r="Y392" s="248"/>
      <c r="Z392" s="248"/>
      <c r="AA392" s="248"/>
      <c r="AB392" s="248"/>
    </row>
    <row r="393" spans="2:28" ht="15.75">
      <c r="B393" s="248"/>
      <c r="C393" s="248"/>
      <c r="D393" s="248"/>
      <c r="E393" s="248"/>
      <c r="F393" s="248"/>
      <c r="G393" s="248"/>
      <c r="H393" s="248"/>
      <c r="I393" s="248"/>
      <c r="J393" s="248"/>
      <c r="K393" s="248"/>
      <c r="L393" s="248"/>
      <c r="M393" s="248"/>
      <c r="N393" s="248"/>
      <c r="O393" s="248"/>
      <c r="P393" s="248"/>
      <c r="Q393" s="248"/>
      <c r="R393" s="248"/>
      <c r="S393" s="248"/>
      <c r="T393" s="248"/>
      <c r="U393" s="248"/>
      <c r="V393" s="248"/>
      <c r="W393" s="248"/>
      <c r="X393" s="248"/>
      <c r="Y393" s="248"/>
      <c r="Z393" s="248"/>
      <c r="AA393" s="248"/>
      <c r="AB393" s="248"/>
    </row>
    <row r="394" spans="2:28" ht="15.75">
      <c r="B394" s="248"/>
      <c r="C394" s="248"/>
      <c r="D394" s="248"/>
      <c r="E394" s="248"/>
      <c r="F394" s="248"/>
      <c r="G394" s="248"/>
      <c r="H394" s="248"/>
      <c r="I394" s="248"/>
      <c r="J394" s="248"/>
      <c r="K394" s="248"/>
      <c r="L394" s="248"/>
      <c r="M394" s="248"/>
      <c r="N394" s="248"/>
      <c r="O394" s="248"/>
      <c r="P394" s="248"/>
      <c r="Q394" s="248"/>
      <c r="R394" s="248"/>
      <c r="S394" s="248"/>
      <c r="T394" s="248"/>
      <c r="U394" s="248"/>
      <c r="V394" s="248"/>
      <c r="W394" s="248"/>
      <c r="X394" s="248"/>
      <c r="Y394" s="248"/>
      <c r="Z394" s="248"/>
      <c r="AA394" s="248"/>
      <c r="AB394" s="248"/>
    </row>
    <row r="395" spans="2:28" ht="15.75">
      <c r="B395" s="248"/>
      <c r="C395" s="248"/>
      <c r="D395" s="248"/>
      <c r="E395" s="248"/>
      <c r="F395" s="248"/>
      <c r="G395" s="248"/>
      <c r="H395" s="248"/>
      <c r="I395" s="248"/>
      <c r="J395" s="248"/>
      <c r="K395" s="248"/>
      <c r="L395" s="248"/>
      <c r="M395" s="248"/>
      <c r="N395" s="248"/>
      <c r="O395" s="248"/>
      <c r="P395" s="248"/>
      <c r="Q395" s="248"/>
      <c r="R395" s="248"/>
      <c r="S395" s="248"/>
      <c r="T395" s="248"/>
      <c r="U395" s="248"/>
      <c r="V395" s="248"/>
      <c r="W395" s="248"/>
      <c r="X395" s="248"/>
      <c r="Y395" s="248"/>
      <c r="Z395" s="248"/>
      <c r="AA395" s="248"/>
      <c r="AB395" s="248"/>
    </row>
    <row r="396" spans="2:28" ht="15.75">
      <c r="B396" s="248"/>
      <c r="C396" s="248"/>
      <c r="D396" s="248"/>
      <c r="E396" s="248"/>
      <c r="F396" s="248"/>
      <c r="G396" s="248"/>
      <c r="H396" s="248"/>
      <c r="I396" s="248"/>
      <c r="J396" s="248"/>
      <c r="K396" s="248"/>
      <c r="L396" s="248"/>
      <c r="M396" s="248"/>
      <c r="N396" s="248"/>
      <c r="O396" s="248"/>
      <c r="P396" s="248"/>
      <c r="Q396" s="248"/>
      <c r="R396" s="248"/>
      <c r="S396" s="248"/>
      <c r="T396" s="248"/>
      <c r="U396" s="248"/>
      <c r="V396" s="248"/>
      <c r="W396" s="248"/>
      <c r="X396" s="248"/>
      <c r="Y396" s="248"/>
      <c r="Z396" s="248"/>
      <c r="AA396" s="248"/>
      <c r="AB396" s="248"/>
    </row>
    <row r="397" spans="2:28" ht="15.75">
      <c r="B397" s="248"/>
      <c r="C397" s="248"/>
      <c r="D397" s="248"/>
      <c r="E397" s="248"/>
      <c r="F397" s="248"/>
      <c r="G397" s="248"/>
      <c r="H397" s="248"/>
      <c r="I397" s="248"/>
      <c r="J397" s="248"/>
      <c r="K397" s="248"/>
      <c r="L397" s="248"/>
      <c r="M397" s="248"/>
      <c r="N397" s="248"/>
      <c r="O397" s="248"/>
      <c r="P397" s="248"/>
      <c r="Q397" s="248"/>
      <c r="R397" s="248"/>
      <c r="S397" s="248"/>
      <c r="T397" s="248"/>
      <c r="U397" s="248"/>
      <c r="V397" s="248"/>
      <c r="W397" s="248"/>
      <c r="X397" s="248"/>
      <c r="Y397" s="248"/>
      <c r="Z397" s="248"/>
      <c r="AA397" s="248"/>
      <c r="AB397" s="248"/>
    </row>
    <row r="398" spans="2:28" ht="15.75"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248"/>
      <c r="M398" s="248"/>
      <c r="N398" s="248"/>
      <c r="O398" s="248"/>
      <c r="P398" s="248"/>
      <c r="Q398" s="248"/>
      <c r="R398" s="248"/>
      <c r="S398" s="248"/>
      <c r="T398" s="248"/>
      <c r="U398" s="248"/>
      <c r="V398" s="248"/>
      <c r="W398" s="248"/>
      <c r="X398" s="248"/>
      <c r="Y398" s="248"/>
      <c r="Z398" s="248"/>
      <c r="AA398" s="248"/>
      <c r="AB398" s="248"/>
    </row>
    <row r="399" spans="2:28" ht="15.75">
      <c r="B399" s="248"/>
      <c r="C399" s="248"/>
      <c r="D399" s="248"/>
      <c r="E399" s="248"/>
      <c r="F399" s="248"/>
      <c r="G399" s="248"/>
      <c r="H399" s="248"/>
      <c r="I399" s="248"/>
      <c r="J399" s="248"/>
      <c r="K399" s="248"/>
      <c r="L399" s="248"/>
      <c r="M399" s="248"/>
      <c r="N399" s="248"/>
      <c r="O399" s="248"/>
      <c r="P399" s="248"/>
      <c r="Q399" s="248"/>
      <c r="R399" s="248"/>
      <c r="S399" s="248"/>
      <c r="T399" s="248"/>
      <c r="U399" s="248"/>
      <c r="V399" s="248"/>
      <c r="W399" s="248"/>
      <c r="X399" s="248"/>
      <c r="Y399" s="248"/>
      <c r="Z399" s="248"/>
      <c r="AA399" s="248"/>
      <c r="AB399" s="248"/>
    </row>
    <row r="400" spans="2:28" ht="15.75">
      <c r="B400" s="248"/>
      <c r="C400" s="248"/>
      <c r="D400" s="248"/>
      <c r="E400" s="248"/>
      <c r="F400" s="248"/>
      <c r="G400" s="248"/>
      <c r="H400" s="248"/>
      <c r="I400" s="248"/>
      <c r="J400" s="248"/>
      <c r="K400" s="248"/>
      <c r="L400" s="248"/>
      <c r="M400" s="248"/>
      <c r="N400" s="248"/>
      <c r="O400" s="248"/>
      <c r="P400" s="248"/>
      <c r="Q400" s="248"/>
      <c r="R400" s="248"/>
      <c r="S400" s="248"/>
      <c r="T400" s="248"/>
      <c r="U400" s="248"/>
      <c r="V400" s="248"/>
      <c r="W400" s="248"/>
      <c r="X400" s="248"/>
      <c r="Y400" s="248"/>
      <c r="Z400" s="248"/>
      <c r="AA400" s="248"/>
      <c r="AB400" s="248"/>
    </row>
    <row r="401" spans="2:28" ht="15.75">
      <c r="B401" s="248"/>
      <c r="C401" s="248"/>
      <c r="D401" s="248"/>
      <c r="E401" s="248"/>
      <c r="F401" s="248"/>
      <c r="G401" s="248"/>
      <c r="H401" s="248"/>
      <c r="I401" s="248"/>
      <c r="J401" s="248"/>
      <c r="K401" s="248"/>
      <c r="L401" s="248"/>
      <c r="M401" s="248"/>
      <c r="N401" s="248"/>
      <c r="O401" s="248"/>
      <c r="P401" s="248"/>
      <c r="Q401" s="248"/>
      <c r="R401" s="248"/>
      <c r="S401" s="248"/>
      <c r="T401" s="248"/>
      <c r="U401" s="248"/>
      <c r="V401" s="248"/>
      <c r="W401" s="248"/>
      <c r="X401" s="248"/>
      <c r="Y401" s="248"/>
      <c r="Z401" s="248"/>
      <c r="AA401" s="248"/>
      <c r="AB401" s="248"/>
    </row>
    <row r="402" spans="2:28" ht="15.75">
      <c r="B402" s="248"/>
      <c r="C402" s="248"/>
      <c r="D402" s="248"/>
      <c r="E402" s="248"/>
      <c r="F402" s="248"/>
      <c r="G402" s="248"/>
      <c r="H402" s="248"/>
      <c r="I402" s="248"/>
      <c r="J402" s="248"/>
      <c r="K402" s="248"/>
      <c r="L402" s="248"/>
      <c r="M402" s="248"/>
      <c r="N402" s="248"/>
      <c r="O402" s="248"/>
      <c r="P402" s="248"/>
      <c r="Q402" s="248"/>
      <c r="R402" s="248"/>
      <c r="S402" s="248"/>
      <c r="T402" s="248"/>
      <c r="U402" s="248"/>
      <c r="V402" s="248"/>
      <c r="W402" s="248"/>
      <c r="X402" s="248"/>
      <c r="Y402" s="248"/>
      <c r="Z402" s="248"/>
      <c r="AA402" s="248"/>
      <c r="AB402" s="248"/>
    </row>
    <row r="403" spans="2:28" ht="15.75">
      <c r="B403" s="248"/>
      <c r="C403" s="248"/>
      <c r="D403" s="248"/>
      <c r="E403" s="248"/>
      <c r="F403" s="248"/>
      <c r="G403" s="248"/>
      <c r="H403" s="248"/>
      <c r="I403" s="248"/>
      <c r="J403" s="248"/>
      <c r="K403" s="248"/>
      <c r="L403" s="248"/>
      <c r="M403" s="248"/>
      <c r="N403" s="248"/>
      <c r="O403" s="248"/>
      <c r="P403" s="248"/>
      <c r="Q403" s="248"/>
      <c r="R403" s="248"/>
      <c r="S403" s="248"/>
      <c r="T403" s="248"/>
      <c r="U403" s="248"/>
      <c r="V403" s="248"/>
      <c r="W403" s="248"/>
      <c r="X403" s="248"/>
      <c r="Y403" s="248"/>
      <c r="Z403" s="248"/>
      <c r="AA403" s="248"/>
      <c r="AB403" s="248"/>
    </row>
    <row r="404" spans="2:28" ht="15.75"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M404" s="248"/>
      <c r="N404" s="248"/>
      <c r="O404" s="248"/>
      <c r="P404" s="248"/>
      <c r="Q404" s="248"/>
      <c r="R404" s="248"/>
      <c r="S404" s="248"/>
      <c r="T404" s="248"/>
      <c r="U404" s="248"/>
      <c r="V404" s="248"/>
      <c r="W404" s="248"/>
      <c r="X404" s="248"/>
      <c r="Y404" s="248"/>
      <c r="Z404" s="248"/>
      <c r="AA404" s="248"/>
      <c r="AB404" s="248"/>
    </row>
    <row r="405" spans="2:28" ht="15.75">
      <c r="B405" s="248"/>
      <c r="C405" s="248"/>
      <c r="D405" s="248"/>
      <c r="E405" s="248"/>
      <c r="F405" s="248"/>
      <c r="G405" s="248"/>
      <c r="H405" s="248"/>
      <c r="I405" s="248"/>
      <c r="J405" s="248"/>
      <c r="K405" s="248"/>
      <c r="L405" s="248"/>
      <c r="M405" s="248"/>
      <c r="N405" s="248"/>
      <c r="O405" s="248"/>
      <c r="P405" s="248"/>
      <c r="Q405" s="248"/>
      <c r="R405" s="248"/>
      <c r="S405" s="248"/>
      <c r="T405" s="248"/>
      <c r="U405" s="248"/>
      <c r="V405" s="248"/>
      <c r="W405" s="248"/>
      <c r="X405" s="248"/>
      <c r="Y405" s="248"/>
      <c r="Z405" s="248"/>
      <c r="AA405" s="248"/>
      <c r="AB405" s="248"/>
    </row>
    <row r="406" spans="2:28" ht="15.75">
      <c r="B406" s="248"/>
      <c r="C406" s="248"/>
      <c r="D406" s="248"/>
      <c r="E406" s="248"/>
      <c r="F406" s="248"/>
      <c r="G406" s="248"/>
      <c r="H406" s="248"/>
      <c r="I406" s="248"/>
      <c r="J406" s="248"/>
      <c r="K406" s="248"/>
      <c r="L406" s="248"/>
      <c r="M406" s="248"/>
      <c r="N406" s="248"/>
      <c r="O406" s="248"/>
      <c r="P406" s="248"/>
      <c r="Q406" s="248"/>
      <c r="R406" s="248"/>
      <c r="S406" s="248"/>
      <c r="T406" s="248"/>
      <c r="U406" s="248"/>
      <c r="V406" s="248"/>
      <c r="W406" s="248"/>
      <c r="X406" s="248"/>
      <c r="Y406" s="248"/>
      <c r="Z406" s="248"/>
      <c r="AA406" s="248"/>
      <c r="AB406" s="248"/>
    </row>
    <row r="407" spans="2:28" ht="15.75">
      <c r="B407" s="248"/>
      <c r="C407" s="248"/>
      <c r="D407" s="248"/>
      <c r="E407" s="248"/>
      <c r="F407" s="248"/>
      <c r="G407" s="248"/>
      <c r="H407" s="248"/>
      <c r="I407" s="248"/>
      <c r="J407" s="248"/>
      <c r="K407" s="248"/>
      <c r="L407" s="248"/>
      <c r="M407" s="248"/>
      <c r="N407" s="248"/>
      <c r="O407" s="248"/>
      <c r="P407" s="248"/>
      <c r="Q407" s="248"/>
      <c r="R407" s="248"/>
      <c r="S407" s="248"/>
      <c r="T407" s="248"/>
      <c r="U407" s="248"/>
      <c r="V407" s="248"/>
      <c r="W407" s="248"/>
      <c r="X407" s="248"/>
      <c r="Y407" s="248"/>
      <c r="Z407" s="248"/>
      <c r="AA407" s="248"/>
      <c r="AB407" s="248"/>
    </row>
    <row r="408" spans="2:28" ht="15.75">
      <c r="B408" s="248"/>
      <c r="C408" s="248"/>
      <c r="D408" s="248"/>
      <c r="E408" s="248"/>
      <c r="F408" s="248"/>
      <c r="G408" s="248"/>
      <c r="H408" s="248"/>
      <c r="I408" s="248"/>
      <c r="J408" s="248"/>
      <c r="K408" s="248"/>
      <c r="L408" s="248"/>
      <c r="M408" s="248"/>
      <c r="N408" s="248"/>
      <c r="O408" s="248"/>
      <c r="P408" s="248"/>
      <c r="Q408" s="248"/>
      <c r="R408" s="248"/>
      <c r="S408" s="248"/>
      <c r="T408" s="248"/>
      <c r="U408" s="248"/>
      <c r="V408" s="248"/>
      <c r="W408" s="248"/>
      <c r="X408" s="248"/>
      <c r="Y408" s="248"/>
      <c r="Z408" s="248"/>
      <c r="AA408" s="248"/>
      <c r="AB408" s="248"/>
    </row>
    <row r="409" spans="2:28" ht="15.75">
      <c r="B409" s="248"/>
      <c r="C409" s="248"/>
      <c r="D409" s="248"/>
      <c r="E409" s="248"/>
      <c r="F409" s="248"/>
      <c r="G409" s="248"/>
      <c r="H409" s="248"/>
      <c r="I409" s="248"/>
      <c r="J409" s="248"/>
      <c r="K409" s="248"/>
      <c r="L409" s="248"/>
      <c r="M409" s="248"/>
      <c r="N409" s="248"/>
      <c r="O409" s="248"/>
      <c r="P409" s="248"/>
      <c r="Q409" s="248"/>
      <c r="R409" s="248"/>
      <c r="S409" s="248"/>
      <c r="T409" s="248"/>
      <c r="U409" s="248"/>
      <c r="V409" s="248"/>
      <c r="W409" s="248"/>
      <c r="X409" s="248"/>
      <c r="Y409" s="248"/>
      <c r="Z409" s="248"/>
      <c r="AA409" s="248"/>
      <c r="AB409" s="248"/>
    </row>
    <row r="410" spans="2:28" ht="15.75">
      <c r="B410" s="248"/>
      <c r="C410" s="248"/>
      <c r="D410" s="248"/>
      <c r="E410" s="248"/>
      <c r="F410" s="248"/>
      <c r="G410" s="248"/>
      <c r="H410" s="248"/>
      <c r="I410" s="248"/>
      <c r="J410" s="248"/>
      <c r="K410" s="248"/>
      <c r="L410" s="248"/>
      <c r="M410" s="248"/>
      <c r="N410" s="248"/>
      <c r="O410" s="248"/>
      <c r="P410" s="248"/>
      <c r="Q410" s="248"/>
      <c r="R410" s="248"/>
      <c r="S410" s="248"/>
      <c r="T410" s="248"/>
      <c r="U410" s="248"/>
      <c r="V410" s="248"/>
      <c r="W410" s="248"/>
      <c r="X410" s="248"/>
      <c r="Y410" s="248"/>
      <c r="Z410" s="248"/>
      <c r="AA410" s="248"/>
      <c r="AB410" s="248"/>
    </row>
    <row r="411" spans="2:28" ht="15.75">
      <c r="B411" s="248"/>
      <c r="C411" s="248"/>
      <c r="D411" s="248"/>
      <c r="E411" s="248"/>
      <c r="F411" s="248"/>
      <c r="G411" s="248"/>
      <c r="H411" s="248"/>
      <c r="I411" s="248"/>
      <c r="J411" s="248"/>
      <c r="K411" s="248"/>
      <c r="L411" s="248"/>
      <c r="M411" s="248"/>
      <c r="N411" s="248"/>
      <c r="O411" s="248"/>
      <c r="P411" s="248"/>
      <c r="Q411" s="248"/>
      <c r="R411" s="248"/>
      <c r="S411" s="248"/>
      <c r="T411" s="248"/>
      <c r="U411" s="248"/>
      <c r="V411" s="248"/>
      <c r="W411" s="248"/>
      <c r="X411" s="248"/>
      <c r="Y411" s="248"/>
      <c r="Z411" s="248"/>
      <c r="AA411" s="248"/>
      <c r="AB411" s="248"/>
    </row>
    <row r="412" spans="2:28" ht="15.75">
      <c r="B412" s="248"/>
      <c r="C412" s="248"/>
      <c r="D412" s="248"/>
      <c r="E412" s="248"/>
      <c r="F412" s="248"/>
      <c r="G412" s="248"/>
      <c r="H412" s="248"/>
      <c r="I412" s="248"/>
      <c r="J412" s="248"/>
      <c r="K412" s="248"/>
      <c r="L412" s="248"/>
      <c r="M412" s="248"/>
      <c r="N412" s="248"/>
      <c r="O412" s="248"/>
      <c r="P412" s="248"/>
      <c r="Q412" s="248"/>
      <c r="R412" s="248"/>
      <c r="S412" s="248"/>
      <c r="T412" s="248"/>
      <c r="U412" s="248"/>
      <c r="V412" s="248"/>
      <c r="W412" s="248"/>
      <c r="X412" s="248"/>
      <c r="Y412" s="248"/>
      <c r="Z412" s="248"/>
      <c r="AA412" s="248"/>
      <c r="AB412" s="248"/>
    </row>
    <row r="413" spans="2:28" ht="15.75">
      <c r="B413" s="248"/>
      <c r="C413" s="248"/>
      <c r="D413" s="248"/>
      <c r="E413" s="248"/>
      <c r="F413" s="248"/>
      <c r="G413" s="248"/>
      <c r="H413" s="248"/>
      <c r="I413" s="248"/>
      <c r="J413" s="248"/>
      <c r="K413" s="248"/>
      <c r="L413" s="248"/>
      <c r="M413" s="248"/>
      <c r="N413" s="248"/>
      <c r="O413" s="248"/>
      <c r="P413" s="248"/>
      <c r="Q413" s="248"/>
      <c r="R413" s="248"/>
      <c r="S413" s="248"/>
      <c r="T413" s="248"/>
      <c r="U413" s="248"/>
      <c r="V413" s="248"/>
      <c r="W413" s="248"/>
      <c r="X413" s="248"/>
      <c r="Y413" s="248"/>
      <c r="Z413" s="248"/>
      <c r="AA413" s="248"/>
      <c r="AB413" s="248"/>
    </row>
    <row r="414" spans="2:28" ht="15.75">
      <c r="B414" s="248"/>
      <c r="C414" s="248"/>
      <c r="D414" s="248"/>
      <c r="E414" s="248"/>
      <c r="F414" s="248"/>
      <c r="G414" s="248"/>
      <c r="H414" s="248"/>
      <c r="I414" s="248"/>
      <c r="J414" s="248"/>
      <c r="K414" s="248"/>
      <c r="L414" s="248"/>
      <c r="M414" s="248"/>
      <c r="N414" s="248"/>
      <c r="O414" s="248"/>
      <c r="P414" s="248"/>
      <c r="Q414" s="248"/>
      <c r="R414" s="248"/>
      <c r="S414" s="248"/>
      <c r="T414" s="248"/>
      <c r="U414" s="248"/>
      <c r="V414" s="248"/>
      <c r="W414" s="248"/>
      <c r="X414" s="248"/>
      <c r="Y414" s="248"/>
      <c r="Z414" s="248"/>
      <c r="AA414" s="248"/>
      <c r="AB414" s="248"/>
    </row>
    <row r="415" spans="2:28" ht="15.75">
      <c r="B415" s="248"/>
      <c r="C415" s="248"/>
      <c r="D415" s="248"/>
      <c r="E415" s="248"/>
      <c r="F415" s="248"/>
      <c r="G415" s="248"/>
      <c r="H415" s="248"/>
      <c r="I415" s="248"/>
      <c r="J415" s="248"/>
      <c r="K415" s="248"/>
      <c r="L415" s="248"/>
      <c r="M415" s="248"/>
      <c r="N415" s="248"/>
      <c r="O415" s="248"/>
      <c r="P415" s="248"/>
      <c r="Q415" s="248"/>
      <c r="R415" s="248"/>
      <c r="S415" s="248"/>
      <c r="T415" s="248"/>
      <c r="U415" s="248"/>
      <c r="V415" s="248"/>
      <c r="W415" s="248"/>
      <c r="X415" s="248"/>
      <c r="Y415" s="248"/>
      <c r="Z415" s="248"/>
      <c r="AA415" s="248"/>
      <c r="AB415" s="248"/>
    </row>
    <row r="416" spans="2:28" ht="15.75">
      <c r="B416" s="248"/>
      <c r="C416" s="248"/>
      <c r="D416" s="248"/>
      <c r="E416" s="248"/>
      <c r="F416" s="248"/>
      <c r="G416" s="248"/>
      <c r="H416" s="248"/>
      <c r="I416" s="248"/>
      <c r="J416" s="248"/>
      <c r="K416" s="248"/>
      <c r="L416" s="248"/>
      <c r="M416" s="248"/>
      <c r="N416" s="248"/>
      <c r="O416" s="248"/>
      <c r="P416" s="248"/>
      <c r="Q416" s="248"/>
      <c r="R416" s="248"/>
      <c r="S416" s="248"/>
      <c r="T416" s="248"/>
      <c r="U416" s="248"/>
      <c r="V416" s="248"/>
      <c r="W416" s="248"/>
      <c r="X416" s="248"/>
      <c r="Y416" s="248"/>
      <c r="Z416" s="248"/>
      <c r="AA416" s="248"/>
      <c r="AB416" s="248"/>
    </row>
    <row r="417" spans="2:28" ht="15.75">
      <c r="B417" s="248"/>
      <c r="C417" s="248"/>
      <c r="D417" s="248"/>
      <c r="E417" s="248"/>
      <c r="F417" s="248"/>
      <c r="G417" s="248"/>
      <c r="H417" s="248"/>
      <c r="I417" s="248"/>
      <c r="J417" s="248"/>
      <c r="K417" s="248"/>
      <c r="L417" s="248"/>
      <c r="M417" s="248"/>
      <c r="N417" s="248"/>
      <c r="O417" s="248"/>
      <c r="P417" s="248"/>
      <c r="Q417" s="248"/>
      <c r="R417" s="248"/>
      <c r="S417" s="248"/>
      <c r="T417" s="248"/>
      <c r="U417" s="248"/>
      <c r="V417" s="248"/>
      <c r="W417" s="248"/>
      <c r="X417" s="248"/>
      <c r="Y417" s="248"/>
      <c r="Z417" s="248"/>
      <c r="AA417" s="248"/>
      <c r="AB417" s="248"/>
    </row>
    <row r="418" spans="2:28" ht="15.75">
      <c r="B418" s="248"/>
      <c r="C418" s="248"/>
      <c r="D418" s="248"/>
      <c r="E418" s="248"/>
      <c r="F418" s="248"/>
      <c r="G418" s="248"/>
      <c r="H418" s="248"/>
      <c r="I418" s="248"/>
      <c r="J418" s="248"/>
      <c r="K418" s="248"/>
      <c r="L418" s="248"/>
      <c r="M418" s="248"/>
      <c r="N418" s="248"/>
      <c r="O418" s="248"/>
      <c r="P418" s="248"/>
      <c r="Q418" s="248"/>
      <c r="R418" s="248"/>
      <c r="S418" s="248"/>
      <c r="T418" s="248"/>
      <c r="U418" s="248"/>
      <c r="V418" s="248"/>
      <c r="W418" s="248"/>
      <c r="X418" s="248"/>
      <c r="Y418" s="248"/>
      <c r="Z418" s="248"/>
      <c r="AA418" s="248"/>
      <c r="AB418" s="248"/>
    </row>
    <row r="419" spans="2:28" ht="15.75">
      <c r="B419" s="248"/>
      <c r="C419" s="248"/>
      <c r="D419" s="248"/>
      <c r="E419" s="248"/>
      <c r="F419" s="248"/>
      <c r="G419" s="248"/>
      <c r="H419" s="248"/>
      <c r="I419" s="248"/>
      <c r="J419" s="248"/>
      <c r="K419" s="248"/>
      <c r="L419" s="248"/>
      <c r="M419" s="248"/>
      <c r="N419" s="248"/>
      <c r="O419" s="248"/>
      <c r="P419" s="248"/>
      <c r="Q419" s="248"/>
      <c r="R419" s="248"/>
      <c r="S419" s="248"/>
      <c r="T419" s="248"/>
      <c r="U419" s="248"/>
      <c r="V419" s="248"/>
      <c r="W419" s="248"/>
      <c r="X419" s="248"/>
      <c r="Y419" s="248"/>
      <c r="Z419" s="248"/>
      <c r="AA419" s="248"/>
      <c r="AB419" s="248"/>
    </row>
    <row r="420" spans="2:28" ht="15.75">
      <c r="B420" s="248"/>
      <c r="C420" s="248"/>
      <c r="D420" s="248"/>
      <c r="E420" s="248"/>
      <c r="F420" s="248"/>
      <c r="G420" s="248"/>
      <c r="H420" s="248"/>
      <c r="I420" s="248"/>
      <c r="J420" s="248"/>
      <c r="K420" s="248"/>
      <c r="L420" s="248"/>
      <c r="M420" s="248"/>
      <c r="N420" s="248"/>
      <c r="O420" s="248"/>
      <c r="P420" s="248"/>
      <c r="Q420" s="248"/>
      <c r="R420" s="248"/>
      <c r="S420" s="248"/>
      <c r="T420" s="248"/>
      <c r="U420" s="248"/>
      <c r="V420" s="248"/>
      <c r="W420" s="248"/>
      <c r="X420" s="248"/>
      <c r="Y420" s="248"/>
      <c r="Z420" s="248"/>
      <c r="AA420" s="248"/>
      <c r="AB420" s="248"/>
    </row>
    <row r="421" spans="2:28" ht="15.75">
      <c r="B421" s="248"/>
      <c r="C421" s="248"/>
      <c r="D421" s="248"/>
      <c r="E421" s="248"/>
      <c r="F421" s="248"/>
      <c r="G421" s="248"/>
      <c r="H421" s="248"/>
      <c r="I421" s="248"/>
      <c r="J421" s="248"/>
      <c r="K421" s="248"/>
      <c r="L421" s="248"/>
      <c r="M421" s="248"/>
      <c r="N421" s="248"/>
      <c r="O421" s="248"/>
      <c r="P421" s="248"/>
      <c r="Q421" s="248"/>
      <c r="R421" s="248"/>
      <c r="S421" s="248"/>
      <c r="T421" s="248"/>
      <c r="U421" s="248"/>
      <c r="V421" s="248"/>
      <c r="W421" s="248"/>
      <c r="X421" s="248"/>
      <c r="Y421" s="248"/>
      <c r="Z421" s="248"/>
      <c r="AA421" s="248"/>
      <c r="AB421" s="248"/>
    </row>
    <row r="422" spans="2:28" ht="15.75">
      <c r="B422" s="248"/>
      <c r="C422" s="248"/>
      <c r="D422" s="248"/>
      <c r="E422" s="248"/>
      <c r="F422" s="248"/>
      <c r="G422" s="248"/>
      <c r="H422" s="248"/>
      <c r="I422" s="248"/>
      <c r="J422" s="248"/>
      <c r="K422" s="248"/>
      <c r="L422" s="248"/>
      <c r="M422" s="248"/>
      <c r="N422" s="248"/>
      <c r="O422" s="248"/>
      <c r="P422" s="248"/>
      <c r="Q422" s="248"/>
      <c r="R422" s="248"/>
      <c r="S422" s="248"/>
      <c r="T422" s="248"/>
      <c r="U422" s="248"/>
      <c r="V422" s="248"/>
      <c r="W422" s="248"/>
      <c r="X422" s="248"/>
      <c r="Y422" s="248"/>
      <c r="Z422" s="248"/>
      <c r="AA422" s="248"/>
      <c r="AB422" s="248"/>
    </row>
    <row r="423" spans="2:28" ht="15.75">
      <c r="B423" s="248"/>
      <c r="C423" s="248"/>
      <c r="D423" s="248"/>
      <c r="E423" s="248"/>
      <c r="F423" s="248"/>
      <c r="G423" s="248"/>
      <c r="H423" s="248"/>
      <c r="I423" s="248"/>
      <c r="J423" s="248"/>
      <c r="K423" s="248"/>
      <c r="L423" s="248"/>
      <c r="M423" s="248"/>
      <c r="N423" s="248"/>
      <c r="O423" s="248"/>
      <c r="P423" s="248"/>
      <c r="Q423" s="248"/>
      <c r="R423" s="248"/>
      <c r="S423" s="248"/>
      <c r="T423" s="248"/>
      <c r="U423" s="248"/>
      <c r="V423" s="248"/>
      <c r="W423" s="248"/>
      <c r="X423" s="248"/>
      <c r="Y423" s="248"/>
      <c r="Z423" s="248"/>
      <c r="AA423" s="248"/>
      <c r="AB423" s="248"/>
    </row>
    <row r="424" spans="2:28" ht="15.75">
      <c r="B424" s="248"/>
      <c r="C424" s="248"/>
      <c r="D424" s="248"/>
      <c r="E424" s="248"/>
      <c r="F424" s="248"/>
      <c r="G424" s="248"/>
      <c r="H424" s="248"/>
      <c r="I424" s="248"/>
      <c r="J424" s="248"/>
      <c r="K424" s="248"/>
      <c r="L424" s="248"/>
      <c r="M424" s="248"/>
      <c r="N424" s="248"/>
      <c r="O424" s="248"/>
      <c r="P424" s="248"/>
      <c r="Q424" s="248"/>
      <c r="R424" s="248"/>
      <c r="S424" s="248"/>
      <c r="T424" s="248"/>
      <c r="U424" s="248"/>
      <c r="V424" s="248"/>
      <c r="W424" s="248"/>
      <c r="X424" s="248"/>
      <c r="Y424" s="248"/>
      <c r="Z424" s="248"/>
      <c r="AA424" s="248"/>
      <c r="AB424" s="248"/>
    </row>
    <row r="425" spans="2:28" ht="15.75">
      <c r="B425" s="248"/>
      <c r="C425" s="248"/>
      <c r="D425" s="248"/>
      <c r="E425" s="248"/>
      <c r="F425" s="248"/>
      <c r="G425" s="248"/>
      <c r="H425" s="248"/>
      <c r="I425" s="248"/>
      <c r="J425" s="248"/>
      <c r="K425" s="248"/>
      <c r="L425" s="248"/>
      <c r="M425" s="248"/>
      <c r="N425" s="248"/>
      <c r="O425" s="248"/>
      <c r="P425" s="248"/>
      <c r="Q425" s="248"/>
      <c r="R425" s="248"/>
      <c r="S425" s="248"/>
      <c r="T425" s="248"/>
      <c r="U425" s="248"/>
      <c r="V425" s="248"/>
      <c r="W425" s="248"/>
      <c r="X425" s="248"/>
      <c r="Y425" s="248"/>
      <c r="Z425" s="248"/>
      <c r="AA425" s="248"/>
      <c r="AB425" s="248"/>
    </row>
    <row r="426" spans="2:28" ht="15.75">
      <c r="B426" s="248"/>
      <c r="C426" s="248"/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8"/>
      <c r="P426" s="248"/>
      <c r="Q426" s="248"/>
      <c r="R426" s="248"/>
      <c r="S426" s="248"/>
      <c r="T426" s="248"/>
      <c r="U426" s="248"/>
      <c r="V426" s="248"/>
      <c r="W426" s="248"/>
      <c r="X426" s="248"/>
      <c r="Y426" s="248"/>
      <c r="Z426" s="248"/>
      <c r="AA426" s="248"/>
      <c r="AB426" s="248"/>
    </row>
    <row r="427" spans="2:28" ht="15.75">
      <c r="B427" s="248"/>
      <c r="C427" s="248"/>
      <c r="D427" s="248"/>
      <c r="E427" s="248"/>
      <c r="F427" s="248"/>
      <c r="G427" s="248"/>
      <c r="H427" s="248"/>
      <c r="I427" s="248"/>
      <c r="J427" s="248"/>
      <c r="K427" s="248"/>
      <c r="L427" s="248"/>
      <c r="M427" s="248"/>
      <c r="N427" s="248"/>
      <c r="O427" s="248"/>
      <c r="P427" s="248"/>
      <c r="Q427" s="248"/>
      <c r="R427" s="248"/>
      <c r="S427" s="248"/>
      <c r="T427" s="248"/>
      <c r="U427" s="248"/>
      <c r="V427" s="248"/>
      <c r="W427" s="248"/>
      <c r="X427" s="248"/>
      <c r="Y427" s="248"/>
      <c r="Z427" s="248"/>
      <c r="AA427" s="248"/>
      <c r="AB427" s="248"/>
    </row>
    <row r="428" spans="2:28" ht="15.75">
      <c r="B428" s="248"/>
      <c r="C428" s="248"/>
      <c r="D428" s="248"/>
      <c r="E428" s="248"/>
      <c r="F428" s="248"/>
      <c r="G428" s="248"/>
      <c r="H428" s="248"/>
      <c r="I428" s="248"/>
      <c r="J428" s="248"/>
      <c r="K428" s="248"/>
      <c r="L428" s="248"/>
      <c r="M428" s="248"/>
      <c r="N428" s="248"/>
      <c r="O428" s="248"/>
      <c r="P428" s="248"/>
      <c r="Q428" s="248"/>
      <c r="R428" s="248"/>
      <c r="S428" s="248"/>
      <c r="T428" s="248"/>
      <c r="U428" s="248"/>
      <c r="V428" s="248"/>
      <c r="W428" s="248"/>
      <c r="X428" s="248"/>
      <c r="Y428" s="248"/>
      <c r="Z428" s="248"/>
      <c r="AA428" s="248"/>
      <c r="AB428" s="248"/>
    </row>
    <row r="429" spans="2:28" ht="15.75">
      <c r="B429" s="248"/>
      <c r="C429" s="248"/>
      <c r="D429" s="248"/>
      <c r="E429" s="248"/>
      <c r="F429" s="248"/>
      <c r="G429" s="248"/>
      <c r="H429" s="248"/>
      <c r="I429" s="248"/>
      <c r="J429" s="248"/>
      <c r="K429" s="248"/>
      <c r="L429" s="248"/>
      <c r="M429" s="248"/>
      <c r="N429" s="248"/>
      <c r="O429" s="248"/>
      <c r="P429" s="248"/>
      <c r="Q429" s="248"/>
      <c r="R429" s="248"/>
      <c r="S429" s="248"/>
      <c r="T429" s="248"/>
      <c r="U429" s="248"/>
      <c r="V429" s="248"/>
      <c r="W429" s="248"/>
      <c r="X429" s="248"/>
      <c r="Y429" s="248"/>
      <c r="Z429" s="248"/>
      <c r="AA429" s="248"/>
      <c r="AB429" s="248"/>
    </row>
    <row r="430" spans="2:28" ht="15.75">
      <c r="B430" s="248"/>
      <c r="C430" s="248"/>
      <c r="D430" s="248"/>
      <c r="E430" s="248"/>
      <c r="F430" s="248"/>
      <c r="G430" s="248"/>
      <c r="H430" s="248"/>
      <c r="I430" s="248"/>
      <c r="J430" s="248"/>
      <c r="K430" s="248"/>
      <c r="L430" s="248"/>
      <c r="M430" s="248"/>
      <c r="N430" s="248"/>
      <c r="O430" s="248"/>
      <c r="P430" s="248"/>
      <c r="Q430" s="248"/>
      <c r="R430" s="248"/>
      <c r="S430" s="248"/>
      <c r="T430" s="248"/>
      <c r="U430" s="248"/>
      <c r="V430" s="248"/>
      <c r="W430" s="248"/>
      <c r="X430" s="248"/>
      <c r="Y430" s="248"/>
      <c r="Z430" s="248"/>
      <c r="AA430" s="248"/>
      <c r="AB430" s="248"/>
    </row>
    <row r="431" spans="2:28" ht="15.75">
      <c r="B431" s="248"/>
      <c r="C431" s="248"/>
      <c r="D431" s="248"/>
      <c r="E431" s="248"/>
      <c r="F431" s="248"/>
      <c r="G431" s="248"/>
      <c r="H431" s="248"/>
      <c r="I431" s="248"/>
      <c r="J431" s="248"/>
      <c r="K431" s="248"/>
      <c r="L431" s="248"/>
      <c r="M431" s="248"/>
      <c r="N431" s="248"/>
      <c r="O431" s="248"/>
      <c r="P431" s="248"/>
      <c r="Q431" s="248"/>
      <c r="R431" s="248"/>
      <c r="S431" s="248"/>
      <c r="T431" s="248"/>
      <c r="U431" s="248"/>
      <c r="V431" s="248"/>
      <c r="W431" s="248"/>
      <c r="X431" s="248"/>
      <c r="Y431" s="248"/>
      <c r="Z431" s="248"/>
      <c r="AA431" s="248"/>
      <c r="AB431" s="248"/>
    </row>
    <row r="432" spans="2:28" ht="15.75">
      <c r="B432" s="248"/>
      <c r="C432" s="248"/>
      <c r="D432" s="248"/>
      <c r="E432" s="248"/>
      <c r="F432" s="248"/>
      <c r="G432" s="248"/>
      <c r="H432" s="248"/>
      <c r="I432" s="248"/>
      <c r="J432" s="248"/>
      <c r="K432" s="248"/>
      <c r="L432" s="248"/>
      <c r="M432" s="248"/>
      <c r="N432" s="248"/>
      <c r="O432" s="248"/>
      <c r="P432" s="248"/>
      <c r="Q432" s="248"/>
      <c r="R432" s="248"/>
      <c r="S432" s="248"/>
      <c r="T432" s="248"/>
      <c r="U432" s="248"/>
      <c r="V432" s="248"/>
      <c r="W432" s="248"/>
      <c r="X432" s="248"/>
      <c r="Y432" s="248"/>
      <c r="Z432" s="248"/>
      <c r="AA432" s="248"/>
      <c r="AB432" s="248"/>
    </row>
    <row r="433" spans="2:28" ht="15.75">
      <c r="B433" s="248"/>
      <c r="C433" s="248"/>
      <c r="D433" s="248"/>
      <c r="E433" s="248"/>
      <c r="F433" s="248"/>
      <c r="G433" s="248"/>
      <c r="H433" s="248"/>
      <c r="I433" s="248"/>
      <c r="J433" s="248"/>
      <c r="K433" s="248"/>
      <c r="L433" s="248"/>
      <c r="M433" s="248"/>
      <c r="N433" s="248"/>
      <c r="O433" s="248"/>
      <c r="P433" s="248"/>
      <c r="Q433" s="248"/>
      <c r="R433" s="248"/>
      <c r="S433" s="248"/>
      <c r="T433" s="248"/>
      <c r="U433" s="248"/>
      <c r="V433" s="248"/>
      <c r="W433" s="248"/>
      <c r="X433" s="248"/>
      <c r="Y433" s="248"/>
      <c r="Z433" s="248"/>
      <c r="AA433" s="248"/>
      <c r="AB433" s="248"/>
    </row>
    <row r="434" spans="2:28" ht="15.75">
      <c r="B434" s="248"/>
      <c r="C434" s="248"/>
      <c r="D434" s="248"/>
      <c r="E434" s="248"/>
      <c r="F434" s="248"/>
      <c r="G434" s="248"/>
      <c r="H434" s="248"/>
      <c r="I434" s="248"/>
      <c r="J434" s="248"/>
      <c r="K434" s="248"/>
      <c r="L434" s="248"/>
      <c r="M434" s="248"/>
      <c r="N434" s="248"/>
      <c r="O434" s="248"/>
      <c r="P434" s="248"/>
      <c r="Q434" s="248"/>
      <c r="R434" s="248"/>
      <c r="S434" s="248"/>
      <c r="T434" s="248"/>
      <c r="U434" s="248"/>
      <c r="V434" s="248"/>
      <c r="W434" s="248"/>
      <c r="X434" s="248"/>
      <c r="Y434" s="248"/>
      <c r="Z434" s="248"/>
      <c r="AA434" s="248"/>
      <c r="AB434" s="248"/>
    </row>
    <row r="435" spans="2:28" ht="15.75"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248"/>
      <c r="M435" s="248"/>
      <c r="N435" s="248"/>
      <c r="O435" s="248"/>
      <c r="P435" s="248"/>
      <c r="Q435" s="248"/>
      <c r="R435" s="248"/>
      <c r="S435" s="248"/>
      <c r="T435" s="248"/>
      <c r="U435" s="248"/>
      <c r="V435" s="248"/>
      <c r="W435" s="248"/>
      <c r="X435" s="248"/>
      <c r="Y435" s="248"/>
      <c r="Z435" s="248"/>
      <c r="AA435" s="248"/>
      <c r="AB435" s="248"/>
    </row>
    <row r="436" spans="2:28" ht="15.75">
      <c r="B436" s="248"/>
      <c r="C436" s="248"/>
      <c r="D436" s="248"/>
      <c r="E436" s="248"/>
      <c r="F436" s="248"/>
      <c r="G436" s="248"/>
      <c r="H436" s="248"/>
      <c r="I436" s="248"/>
      <c r="J436" s="248"/>
      <c r="K436" s="248"/>
      <c r="L436" s="248"/>
      <c r="M436" s="248"/>
      <c r="N436" s="248"/>
      <c r="O436" s="248"/>
      <c r="P436" s="248"/>
      <c r="Q436" s="248"/>
      <c r="R436" s="248"/>
      <c r="S436" s="248"/>
      <c r="T436" s="248"/>
      <c r="U436" s="248"/>
      <c r="V436" s="248"/>
      <c r="W436" s="248"/>
      <c r="X436" s="248"/>
      <c r="Y436" s="248"/>
      <c r="Z436" s="248"/>
      <c r="AA436" s="248"/>
      <c r="AB436" s="248"/>
    </row>
    <row r="437" spans="2:28" ht="15.75">
      <c r="B437" s="248"/>
      <c r="C437" s="248"/>
      <c r="D437" s="248"/>
      <c r="E437" s="248"/>
      <c r="F437" s="248"/>
      <c r="G437" s="248"/>
      <c r="H437" s="248"/>
      <c r="I437" s="248"/>
      <c r="J437" s="248"/>
      <c r="K437" s="248"/>
      <c r="L437" s="248"/>
      <c r="M437" s="248"/>
      <c r="N437" s="248"/>
      <c r="O437" s="248"/>
      <c r="P437" s="248"/>
      <c r="Q437" s="248"/>
      <c r="R437" s="248"/>
      <c r="S437" s="248"/>
      <c r="T437" s="248"/>
      <c r="U437" s="248"/>
      <c r="V437" s="248"/>
      <c r="W437" s="248"/>
      <c r="X437" s="248"/>
      <c r="Y437" s="248"/>
      <c r="Z437" s="248"/>
      <c r="AA437" s="248"/>
      <c r="AB437" s="248"/>
    </row>
    <row r="438" spans="2:28" ht="15.75">
      <c r="B438" s="248"/>
      <c r="C438" s="248"/>
      <c r="D438" s="248"/>
      <c r="E438" s="248"/>
      <c r="F438" s="248"/>
      <c r="G438" s="248"/>
      <c r="H438" s="248"/>
      <c r="I438" s="248"/>
      <c r="J438" s="248"/>
      <c r="K438" s="248"/>
      <c r="L438" s="248"/>
      <c r="M438" s="248"/>
      <c r="N438" s="248"/>
      <c r="O438" s="248"/>
      <c r="P438" s="248"/>
      <c r="Q438" s="248"/>
      <c r="R438" s="248"/>
      <c r="S438" s="248"/>
      <c r="T438" s="248"/>
      <c r="U438" s="248"/>
      <c r="V438" s="248"/>
      <c r="W438" s="248"/>
      <c r="X438" s="248"/>
      <c r="Y438" s="248"/>
      <c r="Z438" s="248"/>
      <c r="AA438" s="248"/>
      <c r="AB438" s="248"/>
    </row>
    <row r="439" spans="2:28" ht="15.75">
      <c r="B439" s="248"/>
      <c r="C439" s="248"/>
      <c r="D439" s="248"/>
      <c r="E439" s="248"/>
      <c r="F439" s="248"/>
      <c r="G439" s="248"/>
      <c r="H439" s="248"/>
      <c r="I439" s="248"/>
      <c r="J439" s="248"/>
      <c r="K439" s="248"/>
      <c r="L439" s="248"/>
      <c r="M439" s="248"/>
      <c r="N439" s="248"/>
      <c r="O439" s="248"/>
      <c r="P439" s="248"/>
      <c r="Q439" s="248"/>
      <c r="R439" s="248"/>
      <c r="S439" s="248"/>
      <c r="T439" s="248"/>
      <c r="U439" s="248"/>
      <c r="V439" s="248"/>
      <c r="W439" s="248"/>
      <c r="X439" s="248"/>
      <c r="Y439" s="248"/>
      <c r="Z439" s="248"/>
      <c r="AA439" s="248"/>
      <c r="AB439" s="248"/>
    </row>
    <row r="440" spans="2:28" ht="15.75">
      <c r="B440" s="248"/>
      <c r="C440" s="248"/>
      <c r="D440" s="248"/>
      <c r="E440" s="248"/>
      <c r="F440" s="248"/>
      <c r="G440" s="248"/>
      <c r="H440" s="248"/>
      <c r="I440" s="248"/>
      <c r="J440" s="248"/>
      <c r="K440" s="248"/>
      <c r="L440" s="248"/>
      <c r="M440" s="248"/>
      <c r="N440" s="248"/>
      <c r="O440" s="248"/>
      <c r="P440" s="248"/>
      <c r="Q440" s="248"/>
      <c r="R440" s="248"/>
      <c r="S440" s="248"/>
      <c r="T440" s="248"/>
      <c r="U440" s="248"/>
      <c r="V440" s="248"/>
      <c r="W440" s="248"/>
      <c r="X440" s="248"/>
      <c r="Y440" s="248"/>
      <c r="Z440" s="248"/>
      <c r="AA440" s="248"/>
      <c r="AB440" s="248"/>
    </row>
    <row r="441" spans="2:28" ht="15.75">
      <c r="B441" s="248"/>
      <c r="C441" s="248"/>
      <c r="D441" s="248"/>
      <c r="E441" s="248"/>
      <c r="F441" s="248"/>
      <c r="G441" s="248"/>
      <c r="H441" s="248"/>
      <c r="I441" s="248"/>
      <c r="J441" s="248"/>
      <c r="K441" s="248"/>
      <c r="L441" s="248"/>
      <c r="M441" s="248"/>
      <c r="N441" s="248"/>
      <c r="O441" s="248"/>
      <c r="P441" s="248"/>
      <c r="Q441" s="248"/>
      <c r="R441" s="248"/>
      <c r="S441" s="248"/>
      <c r="T441" s="248"/>
      <c r="U441" s="248"/>
      <c r="V441" s="248"/>
      <c r="W441" s="248"/>
      <c r="X441" s="248"/>
      <c r="Y441" s="248"/>
      <c r="Z441" s="248"/>
      <c r="AA441" s="248"/>
      <c r="AB441" s="248"/>
    </row>
    <row r="442" spans="2:28" ht="15.75">
      <c r="B442" s="248"/>
      <c r="C442" s="248"/>
      <c r="D442" s="248"/>
      <c r="E442" s="248"/>
      <c r="F442" s="248"/>
      <c r="G442" s="248"/>
      <c r="H442" s="248"/>
      <c r="I442" s="248"/>
      <c r="J442" s="248"/>
      <c r="K442" s="248"/>
      <c r="L442" s="248"/>
      <c r="M442" s="248"/>
      <c r="N442" s="248"/>
      <c r="O442" s="248"/>
      <c r="P442" s="248"/>
      <c r="Q442" s="248"/>
      <c r="R442" s="248"/>
      <c r="S442" s="248"/>
      <c r="T442" s="248"/>
      <c r="U442" s="248"/>
      <c r="V442" s="248"/>
      <c r="W442" s="248"/>
      <c r="X442" s="248"/>
      <c r="Y442" s="248"/>
      <c r="Z442" s="248"/>
      <c r="AA442" s="248"/>
      <c r="AB442" s="248"/>
    </row>
    <row r="443" spans="2:28" ht="15.75">
      <c r="B443" s="248"/>
      <c r="C443" s="248"/>
      <c r="D443" s="248"/>
      <c r="E443" s="248"/>
      <c r="F443" s="248"/>
      <c r="G443" s="248"/>
      <c r="H443" s="248"/>
      <c r="I443" s="248"/>
      <c r="J443" s="248"/>
      <c r="K443" s="248"/>
      <c r="L443" s="248"/>
      <c r="M443" s="248"/>
      <c r="N443" s="248"/>
      <c r="O443" s="248"/>
      <c r="P443" s="248"/>
      <c r="Q443" s="248"/>
      <c r="R443" s="248"/>
      <c r="S443" s="248"/>
      <c r="T443" s="248"/>
      <c r="U443" s="248"/>
      <c r="V443" s="248"/>
      <c r="W443" s="248"/>
      <c r="X443" s="248"/>
      <c r="Y443" s="248"/>
      <c r="Z443" s="248"/>
      <c r="AA443" s="248"/>
      <c r="AB443" s="248"/>
    </row>
    <row r="444" spans="2:28" ht="15.75">
      <c r="B444" s="248"/>
      <c r="C444" s="248"/>
      <c r="D444" s="248"/>
      <c r="E444" s="248"/>
      <c r="F444" s="248"/>
      <c r="G444" s="248"/>
      <c r="H444" s="248"/>
      <c r="I444" s="248"/>
      <c r="J444" s="248"/>
      <c r="K444" s="248"/>
      <c r="L444" s="248"/>
      <c r="M444" s="248"/>
      <c r="N444" s="248"/>
      <c r="O444" s="248"/>
      <c r="P444" s="248"/>
      <c r="Q444" s="248"/>
      <c r="R444" s="248"/>
      <c r="S444" s="248"/>
      <c r="T444" s="248"/>
      <c r="U444" s="248"/>
      <c r="V444" s="248"/>
      <c r="W444" s="248"/>
      <c r="X444" s="248"/>
      <c r="Y444" s="248"/>
      <c r="Z444" s="248"/>
      <c r="AA444" s="248"/>
      <c r="AB444" s="248"/>
    </row>
    <row r="445" spans="2:28" ht="15.75">
      <c r="B445" s="248"/>
      <c r="C445" s="248"/>
      <c r="D445" s="248"/>
      <c r="E445" s="248"/>
      <c r="F445" s="248"/>
      <c r="G445" s="248"/>
      <c r="H445" s="248"/>
      <c r="I445" s="248"/>
      <c r="J445" s="248"/>
      <c r="K445" s="248"/>
      <c r="L445" s="248"/>
      <c r="M445" s="248"/>
      <c r="N445" s="248"/>
      <c r="O445" s="248"/>
      <c r="P445" s="248"/>
      <c r="Q445" s="248"/>
      <c r="R445" s="248"/>
      <c r="S445" s="248"/>
      <c r="T445" s="248"/>
      <c r="U445" s="248"/>
      <c r="V445" s="248"/>
      <c r="W445" s="248"/>
      <c r="X445" s="248"/>
      <c r="Y445" s="248"/>
      <c r="Z445" s="248"/>
      <c r="AA445" s="248"/>
      <c r="AB445" s="248"/>
    </row>
    <row r="446" spans="2:28" ht="15.75">
      <c r="B446" s="248"/>
      <c r="C446" s="248"/>
      <c r="D446" s="248"/>
      <c r="E446" s="248"/>
      <c r="F446" s="248"/>
      <c r="G446" s="248"/>
      <c r="H446" s="248"/>
      <c r="I446" s="248"/>
      <c r="J446" s="248"/>
      <c r="K446" s="248"/>
      <c r="L446" s="248"/>
      <c r="M446" s="248"/>
      <c r="N446" s="248"/>
      <c r="O446" s="248"/>
      <c r="P446" s="248"/>
      <c r="Q446" s="248"/>
      <c r="R446" s="248"/>
      <c r="S446" s="248"/>
      <c r="T446" s="248"/>
      <c r="U446" s="248"/>
      <c r="V446" s="248"/>
      <c r="W446" s="248"/>
      <c r="X446" s="248"/>
      <c r="Y446" s="248"/>
      <c r="Z446" s="248"/>
      <c r="AA446" s="248"/>
      <c r="AB446" s="248"/>
    </row>
    <row r="447" spans="2:28" ht="15.75">
      <c r="B447" s="248"/>
      <c r="C447" s="248"/>
      <c r="D447" s="248"/>
      <c r="E447" s="248"/>
      <c r="F447" s="248"/>
      <c r="G447" s="248"/>
      <c r="H447" s="248"/>
      <c r="I447" s="248"/>
      <c r="J447" s="248"/>
      <c r="K447" s="248"/>
      <c r="L447" s="248"/>
      <c r="M447" s="248"/>
      <c r="N447" s="248"/>
      <c r="O447" s="248"/>
      <c r="P447" s="248"/>
      <c r="Q447" s="248"/>
      <c r="R447" s="248"/>
      <c r="S447" s="248"/>
      <c r="T447" s="248"/>
      <c r="U447" s="248"/>
      <c r="V447" s="248"/>
      <c r="W447" s="248"/>
      <c r="X447" s="248"/>
      <c r="Y447" s="248"/>
      <c r="Z447" s="248"/>
      <c r="AA447" s="248"/>
      <c r="AB447" s="248"/>
    </row>
    <row r="448" spans="2:28" ht="15.75">
      <c r="B448" s="248"/>
      <c r="C448" s="248"/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8"/>
      <c r="P448" s="248"/>
      <c r="Q448" s="248"/>
      <c r="R448" s="248"/>
      <c r="S448" s="248"/>
      <c r="T448" s="248"/>
      <c r="U448" s="248"/>
      <c r="V448" s="248"/>
      <c r="W448" s="248"/>
      <c r="X448" s="248"/>
      <c r="Y448" s="248"/>
      <c r="Z448" s="248"/>
      <c r="AA448" s="248"/>
      <c r="AB448" s="248"/>
    </row>
    <row r="449" spans="2:28" ht="15.75">
      <c r="B449" s="248"/>
      <c r="C449" s="248"/>
      <c r="D449" s="248"/>
      <c r="E449" s="248"/>
      <c r="F449" s="248"/>
      <c r="G449" s="248"/>
      <c r="H449" s="248"/>
      <c r="I449" s="248"/>
      <c r="J449" s="248"/>
      <c r="K449" s="248"/>
      <c r="L449" s="248"/>
      <c r="M449" s="248"/>
      <c r="N449" s="248"/>
      <c r="O449" s="248"/>
      <c r="P449" s="248"/>
      <c r="Q449" s="248"/>
      <c r="R449" s="248"/>
      <c r="S449" s="248"/>
      <c r="T449" s="248"/>
      <c r="U449" s="248"/>
      <c r="V449" s="248"/>
      <c r="W449" s="248"/>
      <c r="X449" s="248"/>
      <c r="Y449" s="248"/>
      <c r="Z449" s="248"/>
      <c r="AA449" s="248"/>
      <c r="AB449" s="248"/>
    </row>
    <row r="450" spans="2:28" ht="15.75">
      <c r="B450" s="248"/>
      <c r="C450" s="248"/>
      <c r="D450" s="248"/>
      <c r="E450" s="248"/>
      <c r="F450" s="248"/>
      <c r="G450" s="248"/>
      <c r="H450" s="248"/>
      <c r="I450" s="248"/>
      <c r="J450" s="248"/>
      <c r="K450" s="248"/>
      <c r="L450" s="248"/>
      <c r="M450" s="248"/>
      <c r="N450" s="248"/>
      <c r="O450" s="248"/>
      <c r="P450" s="248"/>
      <c r="Q450" s="248"/>
      <c r="R450" s="248"/>
      <c r="S450" s="248"/>
      <c r="T450" s="248"/>
      <c r="U450" s="248"/>
      <c r="V450" s="248"/>
      <c r="W450" s="248"/>
      <c r="X450" s="248"/>
      <c r="Y450" s="248"/>
      <c r="Z450" s="248"/>
      <c r="AA450" s="248"/>
      <c r="AB450" s="248"/>
    </row>
    <row r="451" spans="2:28" ht="15.75">
      <c r="B451" s="248"/>
      <c r="C451" s="248"/>
      <c r="D451" s="248"/>
      <c r="E451" s="248"/>
      <c r="F451" s="248"/>
      <c r="G451" s="248"/>
      <c r="H451" s="248"/>
      <c r="I451" s="248"/>
      <c r="J451" s="248"/>
      <c r="K451" s="248"/>
      <c r="L451" s="248"/>
      <c r="M451" s="248"/>
      <c r="N451" s="248"/>
      <c r="O451" s="248"/>
      <c r="P451" s="248"/>
      <c r="Q451" s="248"/>
      <c r="R451" s="248"/>
      <c r="S451" s="248"/>
      <c r="T451" s="248"/>
      <c r="U451" s="248"/>
      <c r="V451" s="248"/>
      <c r="W451" s="248"/>
      <c r="X451" s="248"/>
      <c r="Y451" s="248"/>
      <c r="Z451" s="248"/>
      <c r="AA451" s="248"/>
      <c r="AB451" s="248"/>
    </row>
    <row r="452" spans="2:28" ht="15.75">
      <c r="B452" s="248"/>
      <c r="C452" s="248"/>
      <c r="D452" s="248"/>
      <c r="E452" s="248"/>
      <c r="F452" s="248"/>
      <c r="G452" s="248"/>
      <c r="H452" s="248"/>
      <c r="I452" s="248"/>
      <c r="J452" s="248"/>
      <c r="K452" s="248"/>
      <c r="L452" s="248"/>
      <c r="M452" s="248"/>
      <c r="N452" s="248"/>
      <c r="O452" s="248"/>
      <c r="P452" s="248"/>
      <c r="Q452" s="248"/>
      <c r="R452" s="248"/>
      <c r="S452" s="248"/>
      <c r="T452" s="248"/>
      <c r="U452" s="248"/>
      <c r="V452" s="248"/>
      <c r="W452" s="248"/>
      <c r="X452" s="248"/>
      <c r="Y452" s="248"/>
      <c r="Z452" s="248"/>
      <c r="AA452" s="248"/>
      <c r="AB452" s="248"/>
    </row>
    <row r="453" spans="2:28" ht="15.75">
      <c r="B453" s="248"/>
      <c r="C453" s="248"/>
      <c r="D453" s="248"/>
      <c r="E453" s="248"/>
      <c r="F453" s="248"/>
      <c r="G453" s="248"/>
      <c r="H453" s="248"/>
      <c r="I453" s="248"/>
      <c r="J453" s="248"/>
      <c r="K453" s="248"/>
      <c r="L453" s="248"/>
      <c r="M453" s="248"/>
      <c r="N453" s="248"/>
      <c r="O453" s="248"/>
      <c r="P453" s="248"/>
      <c r="Q453" s="248"/>
      <c r="R453" s="248"/>
      <c r="S453" s="248"/>
      <c r="T453" s="248"/>
      <c r="U453" s="248"/>
      <c r="V453" s="248"/>
      <c r="W453" s="248"/>
      <c r="X453" s="248"/>
      <c r="Y453" s="248"/>
      <c r="Z453" s="248"/>
      <c r="AA453" s="248"/>
      <c r="AB453" s="248"/>
    </row>
    <row r="454" spans="2:28" ht="15.75">
      <c r="B454" s="248"/>
      <c r="C454" s="248"/>
      <c r="D454" s="248"/>
      <c r="E454" s="248"/>
      <c r="F454" s="248"/>
      <c r="G454" s="248"/>
      <c r="H454" s="248"/>
      <c r="I454" s="248"/>
      <c r="J454" s="248"/>
      <c r="K454" s="248"/>
      <c r="L454" s="248"/>
      <c r="M454" s="248"/>
      <c r="N454" s="248"/>
      <c r="O454" s="248"/>
      <c r="P454" s="248"/>
      <c r="Q454" s="248"/>
      <c r="R454" s="248"/>
      <c r="S454" s="248"/>
      <c r="T454" s="248"/>
      <c r="U454" s="248"/>
      <c r="V454" s="248"/>
      <c r="W454" s="248"/>
      <c r="X454" s="248"/>
      <c r="Y454" s="248"/>
      <c r="Z454" s="248"/>
      <c r="AA454" s="248"/>
      <c r="AB454" s="248"/>
    </row>
    <row r="455" spans="2:28" ht="15.75">
      <c r="B455" s="248"/>
      <c r="C455" s="248"/>
      <c r="D455" s="248"/>
      <c r="E455" s="248"/>
      <c r="F455" s="248"/>
      <c r="G455" s="248"/>
      <c r="H455" s="248"/>
      <c r="I455" s="248"/>
      <c r="J455" s="248"/>
      <c r="K455" s="248"/>
      <c r="L455" s="248"/>
      <c r="M455" s="248"/>
      <c r="N455" s="248"/>
      <c r="O455" s="248"/>
      <c r="P455" s="248"/>
      <c r="Q455" s="248"/>
      <c r="R455" s="248"/>
      <c r="S455" s="248"/>
      <c r="T455" s="248"/>
      <c r="U455" s="248"/>
      <c r="V455" s="248"/>
      <c r="W455" s="248"/>
      <c r="X455" s="248"/>
      <c r="Y455" s="248"/>
      <c r="Z455" s="248"/>
      <c r="AA455" s="248"/>
      <c r="AB455" s="248"/>
    </row>
    <row r="456" spans="2:28" ht="15.75">
      <c r="B456" s="248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  <c r="M456" s="248"/>
      <c r="N456" s="248"/>
      <c r="O456" s="248"/>
      <c r="P456" s="248"/>
      <c r="Q456" s="248"/>
      <c r="R456" s="248"/>
      <c r="S456" s="248"/>
      <c r="T456" s="248"/>
      <c r="U456" s="248"/>
      <c r="V456" s="248"/>
      <c r="W456" s="248"/>
      <c r="X456" s="248"/>
      <c r="Y456" s="248"/>
      <c r="Z456" s="248"/>
      <c r="AA456" s="248"/>
      <c r="AB456" s="248"/>
    </row>
    <row r="457" spans="2:28" ht="15.75">
      <c r="B457" s="248"/>
      <c r="C457" s="248"/>
      <c r="D457" s="248"/>
      <c r="E457" s="248"/>
      <c r="F457" s="248"/>
      <c r="G457" s="248"/>
      <c r="H457" s="248"/>
      <c r="I457" s="248"/>
      <c r="J457" s="248"/>
      <c r="K457" s="248"/>
      <c r="L457" s="248"/>
      <c r="M457" s="248"/>
      <c r="N457" s="248"/>
      <c r="O457" s="248"/>
      <c r="P457" s="248"/>
      <c r="Q457" s="248"/>
      <c r="R457" s="248"/>
      <c r="S457" s="248"/>
      <c r="T457" s="248"/>
      <c r="U457" s="248"/>
      <c r="V457" s="248"/>
      <c r="W457" s="248"/>
      <c r="X457" s="248"/>
      <c r="Y457" s="248"/>
      <c r="Z457" s="248"/>
      <c r="AA457" s="248"/>
      <c r="AB457" s="248"/>
    </row>
    <row r="458" spans="2:28" ht="15.75">
      <c r="B458" s="248"/>
      <c r="C458" s="248"/>
      <c r="D458" s="248"/>
      <c r="E458" s="248"/>
      <c r="F458" s="248"/>
      <c r="G458" s="248"/>
      <c r="H458" s="248"/>
      <c r="I458" s="248"/>
      <c r="J458" s="248"/>
      <c r="K458" s="248"/>
      <c r="L458" s="248"/>
      <c r="M458" s="248"/>
      <c r="N458" s="248"/>
      <c r="O458" s="248"/>
      <c r="P458" s="248"/>
      <c r="Q458" s="248"/>
      <c r="R458" s="248"/>
      <c r="S458" s="248"/>
      <c r="T458" s="248"/>
      <c r="U458" s="248"/>
      <c r="V458" s="248"/>
      <c r="W458" s="248"/>
      <c r="X458" s="248"/>
      <c r="Y458" s="248"/>
      <c r="Z458" s="248"/>
      <c r="AA458" s="248"/>
      <c r="AB458" s="248"/>
    </row>
    <row r="459" spans="2:28" ht="15.75">
      <c r="B459" s="248"/>
      <c r="C459" s="248"/>
      <c r="D459" s="248"/>
      <c r="E459" s="248"/>
      <c r="F459" s="248"/>
      <c r="G459" s="248"/>
      <c r="H459" s="248"/>
      <c r="I459" s="248"/>
      <c r="J459" s="248"/>
      <c r="K459" s="248"/>
      <c r="L459" s="248"/>
      <c r="M459" s="248"/>
      <c r="N459" s="248"/>
      <c r="O459" s="248"/>
      <c r="P459" s="248"/>
      <c r="Q459" s="248"/>
      <c r="R459" s="248"/>
      <c r="S459" s="248"/>
      <c r="T459" s="248"/>
      <c r="U459" s="248"/>
      <c r="V459" s="248"/>
      <c r="W459" s="248"/>
      <c r="X459" s="248"/>
      <c r="Y459" s="248"/>
      <c r="Z459" s="248"/>
      <c r="AA459" s="248"/>
      <c r="AB459" s="248"/>
    </row>
    <row r="460" spans="2:28" ht="15.75">
      <c r="B460" s="248"/>
      <c r="C460" s="248"/>
      <c r="D460" s="248"/>
      <c r="E460" s="248"/>
      <c r="F460" s="248"/>
      <c r="G460" s="248"/>
      <c r="H460" s="248"/>
      <c r="I460" s="248"/>
      <c r="J460" s="248"/>
      <c r="K460" s="248"/>
      <c r="L460" s="248"/>
      <c r="M460" s="248"/>
      <c r="N460" s="248"/>
      <c r="O460" s="248"/>
      <c r="P460" s="248"/>
      <c r="Q460" s="248"/>
      <c r="R460" s="248"/>
      <c r="S460" s="248"/>
      <c r="T460" s="248"/>
      <c r="U460" s="248"/>
      <c r="V460" s="248"/>
      <c r="W460" s="248"/>
      <c r="X460" s="248"/>
      <c r="Y460" s="248"/>
      <c r="Z460" s="248"/>
      <c r="AA460" s="248"/>
      <c r="AB460" s="248"/>
    </row>
    <row r="461" spans="2:28" ht="15.75">
      <c r="B461" s="248"/>
      <c r="C461" s="248"/>
      <c r="D461" s="248"/>
      <c r="E461" s="248"/>
      <c r="F461" s="248"/>
      <c r="G461" s="248"/>
      <c r="H461" s="248"/>
      <c r="I461" s="248"/>
      <c r="J461" s="248"/>
      <c r="K461" s="248"/>
      <c r="L461" s="248"/>
      <c r="M461" s="248"/>
      <c r="N461" s="248"/>
      <c r="O461" s="248"/>
      <c r="P461" s="248"/>
      <c r="Q461" s="248"/>
      <c r="R461" s="248"/>
      <c r="S461" s="248"/>
      <c r="T461" s="248"/>
      <c r="U461" s="248"/>
      <c r="V461" s="248"/>
      <c r="W461" s="248"/>
      <c r="X461" s="248"/>
      <c r="Y461" s="248"/>
      <c r="Z461" s="248"/>
      <c r="AA461" s="248"/>
      <c r="AB461" s="248"/>
    </row>
    <row r="462" spans="2:28" ht="15.75">
      <c r="B462" s="248"/>
      <c r="C462" s="248"/>
      <c r="D462" s="248"/>
      <c r="E462" s="248"/>
      <c r="F462" s="248"/>
      <c r="G462" s="248"/>
      <c r="H462" s="248"/>
      <c r="I462" s="248"/>
      <c r="J462" s="248"/>
      <c r="K462" s="248"/>
      <c r="L462" s="248"/>
      <c r="M462" s="248"/>
      <c r="N462" s="248"/>
      <c r="O462" s="248"/>
      <c r="P462" s="248"/>
      <c r="Q462" s="248"/>
      <c r="R462" s="248"/>
      <c r="S462" s="248"/>
      <c r="T462" s="248"/>
      <c r="U462" s="248"/>
      <c r="V462" s="248"/>
      <c r="W462" s="248"/>
      <c r="X462" s="248"/>
      <c r="Y462" s="248"/>
      <c r="Z462" s="248"/>
      <c r="AA462" s="248"/>
      <c r="AB462" s="248"/>
    </row>
    <row r="463" spans="2:28" ht="15.75">
      <c r="B463" s="248"/>
      <c r="C463" s="248"/>
      <c r="D463" s="248"/>
      <c r="E463" s="248"/>
      <c r="F463" s="248"/>
      <c r="G463" s="248"/>
      <c r="H463" s="248"/>
      <c r="I463" s="248"/>
      <c r="J463" s="248"/>
      <c r="K463" s="248"/>
      <c r="L463" s="248"/>
      <c r="M463" s="248"/>
      <c r="N463" s="248"/>
      <c r="O463" s="248"/>
      <c r="P463" s="248"/>
      <c r="Q463" s="248"/>
      <c r="R463" s="248"/>
      <c r="S463" s="248"/>
      <c r="T463" s="248"/>
      <c r="U463" s="248"/>
      <c r="V463" s="248"/>
      <c r="W463" s="248"/>
      <c r="X463" s="248"/>
      <c r="Y463" s="248"/>
      <c r="Z463" s="248"/>
      <c r="AA463" s="248"/>
      <c r="AB463" s="248"/>
    </row>
    <row r="464" spans="2:28" ht="15.75">
      <c r="B464" s="248"/>
      <c r="C464" s="248"/>
      <c r="D464" s="248"/>
      <c r="E464" s="248"/>
      <c r="F464" s="248"/>
      <c r="G464" s="248"/>
      <c r="H464" s="248"/>
      <c r="I464" s="248"/>
      <c r="J464" s="248"/>
      <c r="K464" s="248"/>
      <c r="L464" s="248"/>
      <c r="M464" s="248"/>
      <c r="N464" s="248"/>
      <c r="O464" s="248"/>
      <c r="P464" s="248"/>
      <c r="Q464" s="248"/>
      <c r="R464" s="248"/>
      <c r="S464" s="248"/>
      <c r="T464" s="248"/>
      <c r="U464" s="248"/>
      <c r="V464" s="248"/>
      <c r="W464" s="248"/>
      <c r="X464" s="248"/>
      <c r="Y464" s="248"/>
      <c r="Z464" s="248"/>
      <c r="AA464" s="248"/>
      <c r="AB464" s="248"/>
    </row>
    <row r="465" spans="2:28" ht="15.75">
      <c r="B465" s="248"/>
      <c r="C465" s="248"/>
      <c r="D465" s="248"/>
      <c r="E465" s="248"/>
      <c r="F465" s="248"/>
      <c r="G465" s="248"/>
      <c r="H465" s="248"/>
      <c r="I465" s="248"/>
      <c r="J465" s="248"/>
      <c r="K465" s="248"/>
      <c r="L465" s="248"/>
      <c r="M465" s="248"/>
      <c r="N465" s="248"/>
      <c r="O465" s="248"/>
      <c r="P465" s="248"/>
      <c r="Q465" s="248"/>
      <c r="R465" s="248"/>
      <c r="S465" s="248"/>
      <c r="T465" s="248"/>
      <c r="U465" s="248"/>
      <c r="V465" s="248"/>
      <c r="W465" s="248"/>
      <c r="X465" s="248"/>
      <c r="Y465" s="248"/>
      <c r="Z465" s="248"/>
      <c r="AA465" s="248"/>
      <c r="AB465" s="248"/>
    </row>
    <row r="466" spans="2:28" ht="15.75">
      <c r="B466" s="248"/>
      <c r="C466" s="248"/>
      <c r="D466" s="248"/>
      <c r="E466" s="248"/>
      <c r="F466" s="248"/>
      <c r="G466" s="248"/>
      <c r="H466" s="248"/>
      <c r="I466" s="248"/>
      <c r="J466" s="248"/>
      <c r="K466" s="248"/>
      <c r="L466" s="248"/>
      <c r="M466" s="248"/>
      <c r="N466" s="248"/>
      <c r="O466" s="248"/>
      <c r="P466" s="248"/>
      <c r="Q466" s="248"/>
      <c r="R466" s="248"/>
      <c r="S466" s="248"/>
      <c r="T466" s="248"/>
      <c r="U466" s="248"/>
      <c r="V466" s="248"/>
      <c r="W466" s="248"/>
      <c r="X466" s="248"/>
      <c r="Y466" s="248"/>
      <c r="Z466" s="248"/>
      <c r="AA466" s="248"/>
      <c r="AB466" s="248"/>
    </row>
    <row r="467" spans="2:28" ht="15.75">
      <c r="B467" s="248"/>
      <c r="C467" s="248"/>
      <c r="D467" s="248"/>
      <c r="E467" s="248"/>
      <c r="F467" s="248"/>
      <c r="G467" s="248"/>
      <c r="H467" s="248"/>
      <c r="I467" s="248"/>
      <c r="J467" s="248"/>
      <c r="K467" s="248"/>
      <c r="L467" s="248"/>
      <c r="M467" s="248"/>
      <c r="N467" s="248"/>
      <c r="O467" s="248"/>
      <c r="P467" s="248"/>
      <c r="Q467" s="248"/>
      <c r="R467" s="248"/>
      <c r="S467" s="248"/>
      <c r="T467" s="248"/>
      <c r="U467" s="248"/>
      <c r="V467" s="248"/>
      <c r="W467" s="248"/>
      <c r="X467" s="248"/>
      <c r="Y467" s="248"/>
      <c r="Z467" s="248"/>
      <c r="AA467" s="248"/>
      <c r="AB467" s="248"/>
    </row>
    <row r="468" spans="2:28" ht="15.75">
      <c r="B468" s="248"/>
      <c r="C468" s="248"/>
      <c r="D468" s="248"/>
      <c r="E468" s="248"/>
      <c r="F468" s="248"/>
      <c r="G468" s="248"/>
      <c r="H468" s="248"/>
      <c r="I468" s="248"/>
      <c r="J468" s="248"/>
      <c r="K468" s="248"/>
      <c r="L468" s="248"/>
      <c r="M468" s="248"/>
      <c r="N468" s="248"/>
      <c r="O468" s="248"/>
      <c r="P468" s="248"/>
      <c r="Q468" s="248"/>
      <c r="R468" s="248"/>
      <c r="S468" s="248"/>
      <c r="T468" s="248"/>
      <c r="U468" s="248"/>
      <c r="V468" s="248"/>
      <c r="W468" s="248"/>
      <c r="X468" s="248"/>
      <c r="Y468" s="248"/>
      <c r="Z468" s="248"/>
      <c r="AA468" s="248"/>
      <c r="AB468" s="248"/>
    </row>
    <row r="469" spans="2:28" ht="15.75">
      <c r="B469" s="248"/>
      <c r="C469" s="248"/>
      <c r="D469" s="248"/>
      <c r="E469" s="248"/>
      <c r="F469" s="248"/>
      <c r="G469" s="248"/>
      <c r="H469" s="248"/>
      <c r="I469" s="248"/>
      <c r="J469" s="248"/>
      <c r="K469" s="248"/>
      <c r="L469" s="248"/>
      <c r="M469" s="248"/>
      <c r="N469" s="248"/>
      <c r="O469" s="248"/>
      <c r="P469" s="248"/>
      <c r="Q469" s="248"/>
      <c r="R469" s="248"/>
      <c r="S469" s="248"/>
      <c r="T469" s="248"/>
      <c r="U469" s="248"/>
      <c r="V469" s="248"/>
      <c r="W469" s="248"/>
      <c r="X469" s="248"/>
      <c r="Y469" s="248"/>
      <c r="Z469" s="248"/>
      <c r="AA469" s="248"/>
      <c r="AB469" s="248"/>
    </row>
    <row r="470" spans="2:28" ht="15.75">
      <c r="B470" s="248"/>
      <c r="C470" s="248"/>
      <c r="D470" s="248"/>
      <c r="E470" s="248"/>
      <c r="F470" s="248"/>
      <c r="G470" s="248"/>
      <c r="H470" s="248"/>
      <c r="I470" s="248"/>
      <c r="J470" s="248"/>
      <c r="K470" s="248"/>
      <c r="L470" s="248"/>
      <c r="M470" s="248"/>
      <c r="N470" s="248"/>
      <c r="O470" s="248"/>
      <c r="P470" s="248"/>
      <c r="Q470" s="248"/>
      <c r="R470" s="248"/>
      <c r="S470" s="248"/>
      <c r="T470" s="248"/>
      <c r="U470" s="248"/>
      <c r="V470" s="248"/>
      <c r="W470" s="248"/>
      <c r="X470" s="248"/>
      <c r="Y470" s="248"/>
      <c r="Z470" s="248"/>
      <c r="AA470" s="248"/>
      <c r="AB470" s="248"/>
    </row>
    <row r="471" spans="2:28" ht="15.75">
      <c r="B471" s="248"/>
      <c r="C471" s="248"/>
      <c r="D471" s="248"/>
      <c r="E471" s="248"/>
      <c r="F471" s="248"/>
      <c r="G471" s="248"/>
      <c r="H471" s="248"/>
      <c r="I471" s="248"/>
      <c r="J471" s="248"/>
      <c r="K471" s="248"/>
      <c r="L471" s="248"/>
      <c r="M471" s="248"/>
      <c r="N471" s="248"/>
      <c r="O471" s="248"/>
      <c r="P471" s="248"/>
      <c r="Q471" s="248"/>
      <c r="R471" s="248"/>
      <c r="S471" s="248"/>
      <c r="T471" s="248"/>
      <c r="U471" s="248"/>
      <c r="V471" s="248"/>
      <c r="W471" s="248"/>
      <c r="X471" s="248"/>
      <c r="Y471" s="248"/>
      <c r="Z471" s="248"/>
      <c r="AA471" s="248"/>
      <c r="AB471" s="248"/>
    </row>
    <row r="472" spans="2:28" ht="15.75">
      <c r="B472" s="248"/>
      <c r="C472" s="248"/>
      <c r="D472" s="248"/>
      <c r="E472" s="248"/>
      <c r="F472" s="248"/>
      <c r="G472" s="248"/>
      <c r="H472" s="248"/>
      <c r="I472" s="248"/>
      <c r="J472" s="248"/>
      <c r="K472" s="248"/>
      <c r="L472" s="248"/>
      <c r="M472" s="248"/>
      <c r="N472" s="248"/>
      <c r="O472" s="248"/>
      <c r="P472" s="248"/>
      <c r="Q472" s="248"/>
      <c r="R472" s="248"/>
      <c r="S472" s="248"/>
      <c r="T472" s="248"/>
      <c r="U472" s="248"/>
      <c r="V472" s="248"/>
      <c r="W472" s="248"/>
      <c r="X472" s="248"/>
      <c r="Y472" s="248"/>
      <c r="Z472" s="248"/>
      <c r="AA472" s="248"/>
      <c r="AB472" s="248"/>
    </row>
    <row r="473" spans="2:28" ht="15.75">
      <c r="B473" s="248"/>
      <c r="C473" s="248"/>
      <c r="D473" s="248"/>
      <c r="E473" s="248"/>
      <c r="F473" s="248"/>
      <c r="G473" s="248"/>
      <c r="H473" s="248"/>
      <c r="I473" s="248"/>
      <c r="J473" s="248"/>
      <c r="K473" s="248"/>
      <c r="L473" s="248"/>
      <c r="M473" s="248"/>
      <c r="N473" s="248"/>
      <c r="O473" s="248"/>
      <c r="P473" s="248"/>
      <c r="Q473" s="248"/>
      <c r="R473" s="248"/>
      <c r="S473" s="248"/>
      <c r="T473" s="248"/>
      <c r="U473" s="248"/>
      <c r="V473" s="248"/>
      <c r="W473" s="248"/>
      <c r="X473" s="248"/>
      <c r="Y473" s="248"/>
      <c r="Z473" s="248"/>
      <c r="AA473" s="248"/>
      <c r="AB473" s="248"/>
    </row>
    <row r="474" spans="2:28" ht="15.75">
      <c r="B474" s="248"/>
      <c r="C474" s="248"/>
      <c r="D474" s="248"/>
      <c r="E474" s="248"/>
      <c r="F474" s="248"/>
      <c r="G474" s="248"/>
      <c r="H474" s="248"/>
      <c r="I474" s="248"/>
      <c r="J474" s="248"/>
      <c r="K474" s="248"/>
      <c r="L474" s="248"/>
      <c r="M474" s="248"/>
      <c r="N474" s="248"/>
      <c r="O474" s="248"/>
      <c r="P474" s="248"/>
      <c r="Q474" s="248"/>
      <c r="R474" s="248"/>
      <c r="S474" s="248"/>
      <c r="T474" s="248"/>
      <c r="U474" s="248"/>
      <c r="V474" s="248"/>
      <c r="W474" s="248"/>
      <c r="X474" s="248"/>
      <c r="Y474" s="248"/>
      <c r="Z474" s="248"/>
      <c r="AA474" s="248"/>
      <c r="AB474" s="248"/>
    </row>
    <row r="475" spans="2:28" ht="15.75">
      <c r="B475" s="248"/>
      <c r="C475" s="248"/>
      <c r="D475" s="248"/>
      <c r="E475" s="248"/>
      <c r="F475" s="248"/>
      <c r="G475" s="248"/>
      <c r="H475" s="248"/>
      <c r="I475" s="248"/>
      <c r="J475" s="248"/>
      <c r="K475" s="248"/>
      <c r="L475" s="248"/>
      <c r="M475" s="248"/>
      <c r="N475" s="248"/>
      <c r="O475" s="248"/>
      <c r="P475" s="248"/>
      <c r="Q475" s="248"/>
      <c r="R475" s="248"/>
      <c r="S475" s="248"/>
      <c r="T475" s="248"/>
      <c r="U475" s="248"/>
      <c r="V475" s="248"/>
      <c r="W475" s="248"/>
      <c r="X475" s="248"/>
      <c r="Y475" s="248"/>
      <c r="Z475" s="248"/>
      <c r="AA475" s="248"/>
      <c r="AB475" s="248"/>
    </row>
    <row r="476" spans="2:28" ht="15.75">
      <c r="B476" s="248"/>
      <c r="C476" s="248"/>
      <c r="D476" s="248"/>
      <c r="E476" s="248"/>
      <c r="F476" s="248"/>
      <c r="G476" s="248"/>
      <c r="H476" s="248"/>
      <c r="I476" s="248"/>
      <c r="J476" s="248"/>
      <c r="K476" s="248"/>
      <c r="L476" s="248"/>
      <c r="M476" s="248"/>
      <c r="N476" s="248"/>
      <c r="O476" s="248"/>
      <c r="P476" s="248"/>
      <c r="Q476" s="248"/>
      <c r="R476" s="248"/>
      <c r="S476" s="248"/>
      <c r="T476" s="248"/>
      <c r="U476" s="248"/>
      <c r="V476" s="248"/>
      <c r="W476" s="248"/>
      <c r="X476" s="248"/>
      <c r="Y476" s="248"/>
      <c r="Z476" s="248"/>
      <c r="AA476" s="248"/>
      <c r="AB476" s="248"/>
    </row>
    <row r="477" spans="2:28" ht="15.75">
      <c r="B477" s="248"/>
      <c r="C477" s="248"/>
      <c r="D477" s="248"/>
      <c r="E477" s="248"/>
      <c r="F477" s="248"/>
      <c r="G477" s="248"/>
      <c r="H477" s="248"/>
      <c r="I477" s="248"/>
      <c r="J477" s="248"/>
      <c r="K477" s="248"/>
      <c r="L477" s="248"/>
      <c r="M477" s="248"/>
      <c r="N477" s="248"/>
      <c r="O477" s="248"/>
      <c r="P477" s="248"/>
      <c r="Q477" s="248"/>
      <c r="R477" s="248"/>
      <c r="S477" s="248"/>
      <c r="T477" s="248"/>
      <c r="U477" s="248"/>
      <c r="V477" s="248"/>
      <c r="W477" s="248"/>
      <c r="X477" s="248"/>
      <c r="Y477" s="248"/>
      <c r="Z477" s="248"/>
      <c r="AA477" s="248"/>
      <c r="AB477" s="248"/>
    </row>
    <row r="478" spans="2:28" ht="15.75">
      <c r="B478" s="248"/>
      <c r="C478" s="248"/>
      <c r="D478" s="248"/>
      <c r="E478" s="248"/>
      <c r="F478" s="248"/>
      <c r="G478" s="248"/>
      <c r="H478" s="248"/>
      <c r="I478" s="248"/>
      <c r="J478" s="248"/>
      <c r="K478" s="248"/>
      <c r="L478" s="248"/>
      <c r="M478" s="248"/>
      <c r="N478" s="248"/>
      <c r="O478" s="248"/>
      <c r="P478" s="248"/>
      <c r="Q478" s="248"/>
      <c r="R478" s="248"/>
      <c r="S478" s="248"/>
      <c r="T478" s="248"/>
      <c r="U478" s="248"/>
      <c r="V478" s="248"/>
      <c r="W478" s="248"/>
      <c r="X478" s="248"/>
      <c r="Y478" s="248"/>
      <c r="Z478" s="248"/>
      <c r="AA478" s="248"/>
      <c r="AB478" s="248"/>
    </row>
    <row r="479" spans="2:28" ht="15.75">
      <c r="B479" s="248"/>
      <c r="C479" s="248"/>
      <c r="D479" s="248"/>
      <c r="E479" s="248"/>
      <c r="F479" s="248"/>
      <c r="G479" s="248"/>
      <c r="H479" s="248"/>
      <c r="I479" s="248"/>
      <c r="J479" s="248"/>
      <c r="K479" s="248"/>
      <c r="L479" s="248"/>
      <c r="M479" s="248"/>
      <c r="N479" s="248"/>
      <c r="O479" s="248"/>
      <c r="P479" s="248"/>
      <c r="Q479" s="248"/>
      <c r="R479" s="248"/>
      <c r="S479" s="248"/>
      <c r="T479" s="248"/>
      <c r="U479" s="248"/>
      <c r="V479" s="248"/>
      <c r="W479" s="248"/>
      <c r="X479" s="248"/>
      <c r="Y479" s="248"/>
      <c r="Z479" s="248"/>
      <c r="AA479" s="248"/>
      <c r="AB479" s="248"/>
    </row>
    <row r="480" spans="2:28" ht="15.75">
      <c r="B480" s="248"/>
      <c r="C480" s="248"/>
      <c r="D480" s="248"/>
      <c r="E480" s="248"/>
      <c r="F480" s="248"/>
      <c r="G480" s="248"/>
      <c r="H480" s="248"/>
      <c r="I480" s="248"/>
      <c r="J480" s="248"/>
      <c r="K480" s="248"/>
      <c r="L480" s="248"/>
      <c r="M480" s="248"/>
      <c r="N480" s="248"/>
      <c r="O480" s="248"/>
      <c r="P480" s="248"/>
      <c r="Q480" s="248"/>
      <c r="R480" s="248"/>
      <c r="S480" s="248"/>
      <c r="T480" s="248"/>
      <c r="U480" s="248"/>
      <c r="V480" s="248"/>
      <c r="W480" s="248"/>
      <c r="X480" s="248"/>
      <c r="Y480" s="248"/>
      <c r="Z480" s="248"/>
      <c r="AA480" s="248"/>
      <c r="AB480" s="248"/>
    </row>
    <row r="481" spans="2:28" ht="15.75">
      <c r="B481" s="248"/>
      <c r="C481" s="248"/>
      <c r="D481" s="248"/>
      <c r="E481" s="248"/>
      <c r="F481" s="248"/>
      <c r="G481" s="248"/>
      <c r="H481" s="248"/>
      <c r="I481" s="248"/>
      <c r="J481" s="248"/>
      <c r="K481" s="248"/>
      <c r="L481" s="248"/>
      <c r="M481" s="248"/>
      <c r="N481" s="248"/>
      <c r="O481" s="248"/>
      <c r="P481" s="248"/>
      <c r="Q481" s="248"/>
      <c r="R481" s="248"/>
      <c r="S481" s="248"/>
      <c r="T481" s="248"/>
      <c r="U481" s="248"/>
      <c r="V481" s="248"/>
      <c r="W481" s="248"/>
      <c r="X481" s="248"/>
      <c r="Y481" s="248"/>
      <c r="Z481" s="248"/>
      <c r="AA481" s="248"/>
      <c r="AB481" s="248"/>
    </row>
    <row r="482" spans="2:28" ht="15.75">
      <c r="B482" s="248"/>
      <c r="C482" s="248"/>
      <c r="D482" s="248"/>
      <c r="E482" s="248"/>
      <c r="F482" s="248"/>
      <c r="G482" s="248"/>
      <c r="H482" s="248"/>
      <c r="I482" s="248"/>
      <c r="J482" s="248"/>
      <c r="K482" s="248"/>
      <c r="L482" s="248"/>
      <c r="M482" s="248"/>
      <c r="N482" s="248"/>
      <c r="O482" s="248"/>
      <c r="P482" s="248"/>
      <c r="Q482" s="248"/>
      <c r="R482" s="248"/>
      <c r="S482" s="248"/>
      <c r="T482" s="248"/>
      <c r="U482" s="248"/>
      <c r="V482" s="248"/>
      <c r="W482" s="248"/>
      <c r="X482" s="248"/>
      <c r="Y482" s="248"/>
      <c r="Z482" s="248"/>
      <c r="AA482" s="248"/>
      <c r="AB482" s="248"/>
    </row>
    <row r="483" spans="2:28" ht="15.75">
      <c r="B483" s="248"/>
      <c r="C483" s="248"/>
      <c r="D483" s="248"/>
      <c r="E483" s="248"/>
      <c r="F483" s="248"/>
      <c r="G483" s="248"/>
      <c r="H483" s="248"/>
      <c r="I483" s="248"/>
      <c r="J483" s="248"/>
      <c r="K483" s="248"/>
      <c r="L483" s="248"/>
      <c r="M483" s="248"/>
      <c r="N483" s="248"/>
      <c r="O483" s="248"/>
      <c r="P483" s="248"/>
      <c r="Q483" s="248"/>
      <c r="R483" s="248"/>
      <c r="S483" s="248"/>
      <c r="T483" s="248"/>
      <c r="U483" s="248"/>
      <c r="V483" s="248"/>
      <c r="W483" s="248"/>
      <c r="X483" s="248"/>
      <c r="Y483" s="248"/>
      <c r="Z483" s="248"/>
      <c r="AA483" s="248"/>
      <c r="AB483" s="248"/>
    </row>
    <row r="484" spans="2:28" ht="15.75">
      <c r="B484" s="248"/>
      <c r="C484" s="248"/>
      <c r="D484" s="248"/>
      <c r="E484" s="248"/>
      <c r="F484" s="248"/>
      <c r="G484" s="248"/>
      <c r="H484" s="248"/>
      <c r="I484" s="248"/>
      <c r="J484" s="248"/>
      <c r="K484" s="248"/>
      <c r="L484" s="248"/>
      <c r="M484" s="248"/>
      <c r="N484" s="248"/>
      <c r="O484" s="248"/>
      <c r="P484" s="248"/>
      <c r="Q484" s="248"/>
      <c r="R484" s="248"/>
      <c r="S484" s="248"/>
      <c r="T484" s="248"/>
      <c r="U484" s="248"/>
      <c r="V484" s="248"/>
      <c r="W484" s="248"/>
      <c r="X484" s="248"/>
      <c r="Y484" s="248"/>
      <c r="Z484" s="248"/>
      <c r="AA484" s="248"/>
      <c r="AB484" s="248"/>
    </row>
    <row r="485" spans="2:28" ht="15.75">
      <c r="B485" s="248"/>
      <c r="C485" s="248"/>
      <c r="D485" s="248"/>
      <c r="E485" s="248"/>
      <c r="F485" s="248"/>
      <c r="G485" s="248"/>
      <c r="H485" s="248"/>
      <c r="I485" s="248"/>
      <c r="J485" s="248"/>
      <c r="K485" s="248"/>
      <c r="L485" s="248"/>
      <c r="M485" s="248"/>
      <c r="N485" s="248"/>
      <c r="O485" s="248"/>
      <c r="P485" s="248"/>
      <c r="Q485" s="248"/>
      <c r="R485" s="248"/>
      <c r="S485" s="248"/>
      <c r="T485" s="248"/>
      <c r="U485" s="248"/>
      <c r="V485" s="248"/>
      <c r="W485" s="248"/>
      <c r="X485" s="248"/>
      <c r="Y485" s="248"/>
      <c r="Z485" s="248"/>
      <c r="AA485" s="248"/>
      <c r="AB485" s="248"/>
    </row>
    <row r="486" spans="2:28" ht="15.75">
      <c r="B486" s="248"/>
      <c r="C486" s="248"/>
      <c r="D486" s="248"/>
      <c r="E486" s="248"/>
      <c r="F486" s="248"/>
      <c r="G486" s="248"/>
      <c r="H486" s="248"/>
      <c r="I486" s="248"/>
      <c r="J486" s="248"/>
      <c r="K486" s="248"/>
      <c r="L486" s="248"/>
      <c r="M486" s="248"/>
      <c r="N486" s="248"/>
      <c r="O486" s="248"/>
      <c r="P486" s="248"/>
      <c r="Q486" s="248"/>
      <c r="R486" s="248"/>
      <c r="S486" s="248"/>
      <c r="T486" s="248"/>
      <c r="U486" s="248"/>
      <c r="V486" s="248"/>
      <c r="W486" s="248"/>
      <c r="X486" s="248"/>
      <c r="Y486" s="248"/>
      <c r="Z486" s="248"/>
      <c r="AA486" s="248"/>
      <c r="AB486" s="248"/>
    </row>
    <row r="487" spans="2:28" ht="15.75">
      <c r="B487" s="248"/>
      <c r="C487" s="248"/>
      <c r="D487" s="248"/>
      <c r="E487" s="248"/>
      <c r="F487" s="248"/>
      <c r="G487" s="248"/>
      <c r="H487" s="248"/>
      <c r="I487" s="248"/>
      <c r="J487" s="248"/>
      <c r="K487" s="248"/>
      <c r="L487" s="248"/>
      <c r="M487" s="248"/>
      <c r="N487" s="248"/>
      <c r="O487" s="248"/>
      <c r="P487" s="248"/>
      <c r="Q487" s="248"/>
      <c r="R487" s="248"/>
      <c r="S487" s="248"/>
      <c r="T487" s="248"/>
      <c r="U487" s="248"/>
      <c r="V487" s="248"/>
      <c r="W487" s="248"/>
      <c r="X487" s="248"/>
      <c r="Y487" s="248"/>
      <c r="Z487" s="248"/>
      <c r="AA487" s="248"/>
      <c r="AB487" s="248"/>
    </row>
    <row r="488" spans="2:28" ht="15.75">
      <c r="B488" s="248"/>
      <c r="C488" s="248"/>
      <c r="D488" s="248"/>
      <c r="E488" s="248"/>
      <c r="F488" s="248"/>
      <c r="G488" s="248"/>
      <c r="H488" s="248"/>
      <c r="I488" s="248"/>
      <c r="J488" s="248"/>
      <c r="K488" s="248"/>
      <c r="L488" s="248"/>
      <c r="M488" s="248"/>
      <c r="N488" s="248"/>
      <c r="O488" s="248"/>
      <c r="P488" s="248"/>
      <c r="Q488" s="248"/>
      <c r="R488" s="248"/>
      <c r="S488" s="248"/>
      <c r="T488" s="248"/>
      <c r="U488" s="248"/>
      <c r="V488" s="248"/>
      <c r="W488" s="248"/>
      <c r="X488" s="248"/>
      <c r="Y488" s="248"/>
      <c r="Z488" s="248"/>
      <c r="AA488" s="248"/>
      <c r="AB488" s="248"/>
    </row>
    <row r="489" spans="2:28" ht="15.75">
      <c r="B489" s="248"/>
      <c r="C489" s="248"/>
      <c r="D489" s="248"/>
      <c r="E489" s="248"/>
      <c r="F489" s="248"/>
      <c r="G489" s="248"/>
      <c r="H489" s="248"/>
      <c r="I489" s="248"/>
      <c r="J489" s="248"/>
      <c r="K489" s="248"/>
      <c r="L489" s="248"/>
      <c r="M489" s="248"/>
      <c r="N489" s="248"/>
      <c r="O489" s="248"/>
      <c r="P489" s="248"/>
      <c r="Q489" s="248"/>
      <c r="R489" s="248"/>
      <c r="S489" s="248"/>
      <c r="T489" s="248"/>
      <c r="U489" s="248"/>
      <c r="V489" s="248"/>
      <c r="W489" s="248"/>
      <c r="X489" s="248"/>
      <c r="Y489" s="248"/>
      <c r="Z489" s="248"/>
      <c r="AA489" s="248"/>
      <c r="AB489" s="248"/>
    </row>
    <row r="490" spans="2:28" ht="15.75">
      <c r="B490" s="248"/>
      <c r="C490" s="248"/>
      <c r="D490" s="248"/>
      <c r="E490" s="248"/>
      <c r="F490" s="248"/>
      <c r="G490" s="248"/>
      <c r="H490" s="248"/>
      <c r="I490" s="248"/>
      <c r="J490" s="248"/>
      <c r="K490" s="248"/>
      <c r="L490" s="248"/>
      <c r="M490" s="248"/>
      <c r="N490" s="248"/>
      <c r="O490" s="248"/>
      <c r="P490" s="248"/>
      <c r="Q490" s="248"/>
      <c r="R490" s="248"/>
      <c r="S490" s="248"/>
      <c r="T490" s="248"/>
      <c r="U490" s="248"/>
      <c r="V490" s="248"/>
      <c r="W490" s="248"/>
      <c r="X490" s="248"/>
      <c r="Y490" s="248"/>
      <c r="Z490" s="248"/>
      <c r="AA490" s="248"/>
      <c r="AB490" s="248"/>
    </row>
    <row r="491" spans="2:28" ht="15.75">
      <c r="B491" s="248"/>
      <c r="C491" s="248"/>
      <c r="D491" s="248"/>
      <c r="E491" s="248"/>
      <c r="F491" s="248"/>
      <c r="G491" s="248"/>
      <c r="H491" s="248"/>
      <c r="I491" s="248"/>
      <c r="J491" s="248"/>
      <c r="K491" s="248"/>
      <c r="L491" s="248"/>
      <c r="M491" s="248"/>
      <c r="N491" s="248"/>
      <c r="O491" s="248"/>
      <c r="P491" s="248"/>
      <c r="Q491" s="248"/>
      <c r="R491" s="248"/>
      <c r="S491" s="248"/>
      <c r="T491" s="248"/>
      <c r="U491" s="248"/>
      <c r="V491" s="248"/>
      <c r="W491" s="248"/>
      <c r="X491" s="248"/>
      <c r="Y491" s="248"/>
      <c r="Z491" s="248"/>
      <c r="AA491" s="248"/>
      <c r="AB491" s="248"/>
    </row>
    <row r="492" spans="2:28" ht="15.75">
      <c r="B492" s="248"/>
      <c r="C492" s="248"/>
      <c r="D492" s="248"/>
      <c r="E492" s="248"/>
      <c r="F492" s="248"/>
      <c r="G492" s="248"/>
      <c r="H492" s="248"/>
      <c r="I492" s="248"/>
      <c r="J492" s="248"/>
      <c r="K492" s="248"/>
      <c r="L492" s="248"/>
      <c r="M492" s="248"/>
      <c r="N492" s="248"/>
      <c r="O492" s="248"/>
      <c r="P492" s="248"/>
      <c r="Q492" s="248"/>
      <c r="R492" s="248"/>
      <c r="S492" s="248"/>
      <c r="T492" s="248"/>
      <c r="U492" s="248"/>
      <c r="V492" s="248"/>
      <c r="W492" s="248"/>
      <c r="X492" s="248"/>
      <c r="Y492" s="248"/>
      <c r="Z492" s="248"/>
      <c r="AA492" s="248"/>
      <c r="AB492" s="248"/>
    </row>
    <row r="493" spans="2:28" ht="15.75">
      <c r="B493" s="248"/>
      <c r="C493" s="248"/>
      <c r="D493" s="248"/>
      <c r="E493" s="248"/>
      <c r="F493" s="248"/>
      <c r="G493" s="248"/>
      <c r="H493" s="248"/>
      <c r="I493" s="248"/>
      <c r="J493" s="248"/>
      <c r="K493" s="248"/>
      <c r="L493" s="248"/>
      <c r="M493" s="248"/>
      <c r="N493" s="248"/>
      <c r="O493" s="248"/>
      <c r="P493" s="248"/>
      <c r="Q493" s="248"/>
      <c r="R493" s="248"/>
      <c r="S493" s="248"/>
      <c r="T493" s="248"/>
      <c r="U493" s="248"/>
      <c r="V493" s="248"/>
      <c r="W493" s="248"/>
      <c r="X493" s="248"/>
      <c r="Y493" s="248"/>
      <c r="Z493" s="248"/>
      <c r="AA493" s="248"/>
      <c r="AB493" s="248"/>
    </row>
    <row r="494" spans="2:28" ht="15.75">
      <c r="B494" s="248"/>
      <c r="C494" s="248"/>
      <c r="D494" s="248"/>
      <c r="E494" s="248"/>
      <c r="F494" s="248"/>
      <c r="G494" s="248"/>
      <c r="H494" s="248"/>
      <c r="I494" s="248"/>
      <c r="J494" s="248"/>
      <c r="K494" s="248"/>
      <c r="L494" s="248"/>
      <c r="M494" s="248"/>
      <c r="N494" s="248"/>
      <c r="O494" s="248"/>
      <c r="P494" s="248"/>
      <c r="Q494" s="248"/>
      <c r="R494" s="248"/>
      <c r="S494" s="248"/>
      <c r="T494" s="248"/>
      <c r="U494" s="248"/>
      <c r="V494" s="248"/>
      <c r="W494" s="248"/>
      <c r="X494" s="248"/>
      <c r="Y494" s="248"/>
      <c r="Z494" s="248"/>
      <c r="AA494" s="248"/>
      <c r="AB494" s="248"/>
    </row>
    <row r="495" spans="2:28" ht="15.75">
      <c r="B495" s="248"/>
      <c r="C495" s="248"/>
      <c r="D495" s="248"/>
      <c r="E495" s="248"/>
      <c r="F495" s="248"/>
      <c r="G495" s="248"/>
      <c r="H495" s="248"/>
      <c r="I495" s="248"/>
      <c r="J495" s="248"/>
      <c r="K495" s="248"/>
      <c r="L495" s="248"/>
      <c r="M495" s="248"/>
      <c r="N495" s="248"/>
      <c r="O495" s="248"/>
      <c r="P495" s="248"/>
      <c r="Q495" s="248"/>
      <c r="R495" s="248"/>
      <c r="S495" s="248"/>
      <c r="T495" s="248"/>
      <c r="U495" s="248"/>
      <c r="V495" s="248"/>
      <c r="W495" s="248"/>
      <c r="X495" s="248"/>
      <c r="Y495" s="248"/>
      <c r="Z495" s="248"/>
      <c r="AA495" s="248"/>
      <c r="AB495" s="248"/>
    </row>
    <row r="496" spans="2:28" ht="15.75">
      <c r="B496" s="248"/>
      <c r="C496" s="248"/>
      <c r="D496" s="248"/>
      <c r="E496" s="248"/>
      <c r="F496" s="248"/>
      <c r="G496" s="248"/>
      <c r="H496" s="248"/>
      <c r="I496" s="248"/>
      <c r="J496" s="248"/>
      <c r="K496" s="248"/>
      <c r="L496" s="248"/>
      <c r="M496" s="248"/>
      <c r="N496" s="248"/>
      <c r="O496" s="248"/>
      <c r="P496" s="248"/>
      <c r="Q496" s="248"/>
      <c r="R496" s="248"/>
      <c r="S496" s="248"/>
      <c r="T496" s="248"/>
      <c r="U496" s="248"/>
      <c r="V496" s="248"/>
      <c r="W496" s="248"/>
      <c r="X496" s="248"/>
      <c r="Y496" s="248"/>
      <c r="Z496" s="248"/>
      <c r="AA496" s="248"/>
      <c r="AB496" s="248"/>
    </row>
    <row r="497" spans="2:28" ht="15.75">
      <c r="B497" s="248"/>
      <c r="C497" s="248"/>
      <c r="D497" s="248"/>
      <c r="E497" s="248"/>
      <c r="F497" s="248"/>
      <c r="G497" s="248"/>
      <c r="H497" s="248"/>
      <c r="I497" s="248"/>
      <c r="J497" s="248"/>
      <c r="K497" s="248"/>
      <c r="L497" s="248"/>
      <c r="M497" s="248"/>
      <c r="N497" s="248"/>
      <c r="O497" s="248"/>
      <c r="P497" s="248"/>
      <c r="Q497" s="248"/>
      <c r="R497" s="248"/>
      <c r="S497" s="248"/>
      <c r="T497" s="248"/>
      <c r="U497" s="248"/>
      <c r="V497" s="248"/>
      <c r="W497" s="248"/>
      <c r="X497" s="248"/>
      <c r="Y497" s="248"/>
      <c r="Z497" s="248"/>
      <c r="AA497" s="248"/>
      <c r="AB497" s="248"/>
    </row>
    <row r="498" spans="2:28" ht="15.75">
      <c r="B498" s="248"/>
      <c r="C498" s="248"/>
      <c r="D498" s="248"/>
      <c r="E498" s="248"/>
      <c r="F498" s="248"/>
      <c r="G498" s="248"/>
      <c r="H498" s="248"/>
      <c r="I498" s="248"/>
      <c r="J498" s="248"/>
      <c r="K498" s="248"/>
      <c r="L498" s="248"/>
      <c r="M498" s="248"/>
      <c r="N498" s="248"/>
      <c r="O498" s="248"/>
      <c r="P498" s="248"/>
      <c r="Q498" s="248"/>
      <c r="R498" s="248"/>
      <c r="S498" s="248"/>
      <c r="T498" s="248"/>
      <c r="U498" s="248"/>
      <c r="V498" s="248"/>
      <c r="W498" s="248"/>
      <c r="X498" s="248"/>
      <c r="Y498" s="248"/>
      <c r="Z498" s="248"/>
      <c r="AA498" s="248"/>
      <c r="AB498" s="248"/>
    </row>
    <row r="499" spans="2:28" ht="15.75">
      <c r="B499" s="248"/>
      <c r="C499" s="248"/>
      <c r="D499" s="248"/>
      <c r="E499" s="248"/>
      <c r="F499" s="248"/>
      <c r="G499" s="248"/>
      <c r="H499" s="248"/>
      <c r="I499" s="248"/>
      <c r="J499" s="248"/>
      <c r="K499" s="248"/>
      <c r="L499" s="248"/>
      <c r="M499" s="248"/>
      <c r="N499" s="248"/>
      <c r="O499" s="248"/>
      <c r="P499" s="248"/>
      <c r="Q499" s="248"/>
      <c r="R499" s="248"/>
      <c r="S499" s="248"/>
      <c r="T499" s="248"/>
      <c r="U499" s="248"/>
      <c r="V499" s="248"/>
      <c r="W499" s="248"/>
      <c r="X499" s="248"/>
      <c r="Y499" s="248"/>
      <c r="Z499" s="248"/>
      <c r="AA499" s="248"/>
      <c r="AB499" s="248"/>
    </row>
    <row r="500" spans="2:28" ht="15.75">
      <c r="B500" s="248"/>
      <c r="C500" s="248"/>
      <c r="D500" s="248"/>
      <c r="E500" s="248"/>
      <c r="F500" s="248"/>
      <c r="G500" s="248"/>
      <c r="H500" s="248"/>
      <c r="I500" s="248"/>
      <c r="J500" s="248"/>
      <c r="K500" s="248"/>
      <c r="L500" s="248"/>
      <c r="M500" s="248"/>
      <c r="N500" s="248"/>
      <c r="O500" s="248"/>
      <c r="P500" s="248"/>
      <c r="Q500" s="248"/>
      <c r="R500" s="248"/>
      <c r="S500" s="248"/>
      <c r="T500" s="248"/>
      <c r="U500" s="248"/>
      <c r="V500" s="248"/>
      <c r="W500" s="248"/>
      <c r="X500" s="248"/>
      <c r="Y500" s="248"/>
      <c r="Z500" s="248"/>
      <c r="AA500" s="248"/>
      <c r="AB500" s="248"/>
    </row>
    <row r="501" spans="2:28" ht="15.75">
      <c r="B501" s="248"/>
      <c r="C501" s="248"/>
      <c r="D501" s="248"/>
      <c r="E501" s="248"/>
      <c r="F501" s="248"/>
      <c r="G501" s="248"/>
      <c r="H501" s="248"/>
      <c r="I501" s="248"/>
      <c r="J501" s="248"/>
      <c r="K501" s="248"/>
      <c r="L501" s="248"/>
      <c r="M501" s="248"/>
      <c r="N501" s="248"/>
      <c r="O501" s="248"/>
      <c r="P501" s="248"/>
      <c r="Q501" s="248"/>
      <c r="R501" s="248"/>
      <c r="S501" s="248"/>
      <c r="T501" s="248"/>
      <c r="U501" s="248"/>
      <c r="V501" s="248"/>
      <c r="W501" s="248"/>
      <c r="X501" s="248"/>
      <c r="Y501" s="248"/>
      <c r="Z501" s="248"/>
      <c r="AA501" s="248"/>
      <c r="AB501" s="248"/>
    </row>
    <row r="502" spans="2:28" ht="15.75">
      <c r="B502" s="248"/>
      <c r="C502" s="248"/>
      <c r="D502" s="248"/>
      <c r="E502" s="248"/>
      <c r="F502" s="248"/>
      <c r="G502" s="248"/>
      <c r="H502" s="248"/>
      <c r="I502" s="248"/>
      <c r="J502" s="248"/>
      <c r="K502" s="248"/>
      <c r="L502" s="248"/>
      <c r="M502" s="248"/>
      <c r="N502" s="248"/>
      <c r="O502" s="248"/>
      <c r="P502" s="248"/>
      <c r="Q502" s="248"/>
      <c r="R502" s="248"/>
      <c r="S502" s="248"/>
      <c r="T502" s="248"/>
      <c r="U502" s="248"/>
      <c r="V502" s="248"/>
      <c r="W502" s="248"/>
      <c r="X502" s="248"/>
      <c r="Y502" s="248"/>
      <c r="Z502" s="248"/>
      <c r="AA502" s="248"/>
      <c r="AB502" s="248"/>
    </row>
    <row r="503" spans="2:28" ht="15.75">
      <c r="B503" s="248"/>
      <c r="C503" s="248"/>
      <c r="D503" s="248"/>
      <c r="E503" s="248"/>
      <c r="F503" s="248"/>
      <c r="G503" s="248"/>
      <c r="H503" s="248"/>
      <c r="I503" s="248"/>
      <c r="J503" s="248"/>
      <c r="K503" s="248"/>
      <c r="L503" s="248"/>
      <c r="M503" s="248"/>
      <c r="N503" s="248"/>
      <c r="O503" s="248"/>
      <c r="P503" s="248"/>
      <c r="Q503" s="248"/>
      <c r="R503" s="248"/>
      <c r="S503" s="248"/>
      <c r="T503" s="248"/>
      <c r="U503" s="248"/>
      <c r="V503" s="248"/>
      <c r="W503" s="248"/>
      <c r="X503" s="248"/>
      <c r="Y503" s="248"/>
      <c r="Z503" s="248"/>
      <c r="AA503" s="248"/>
      <c r="AB503" s="248"/>
    </row>
    <row r="504" spans="2:28" ht="15.75">
      <c r="B504" s="248"/>
      <c r="C504" s="248"/>
      <c r="D504" s="248"/>
      <c r="E504" s="248"/>
      <c r="F504" s="248"/>
      <c r="G504" s="248"/>
      <c r="H504" s="248"/>
      <c r="I504" s="248"/>
      <c r="J504" s="248"/>
      <c r="K504" s="248"/>
      <c r="L504" s="248"/>
      <c r="M504" s="248"/>
      <c r="N504" s="248"/>
      <c r="O504" s="248"/>
      <c r="P504" s="248"/>
      <c r="Q504" s="248"/>
      <c r="R504" s="248"/>
      <c r="S504" s="248"/>
      <c r="T504" s="248"/>
      <c r="U504" s="248"/>
      <c r="V504" s="248"/>
      <c r="W504" s="248"/>
      <c r="X504" s="248"/>
      <c r="Y504" s="248"/>
      <c r="Z504" s="248"/>
      <c r="AA504" s="248"/>
      <c r="AB504" s="248"/>
    </row>
    <row r="505" spans="2:28" ht="15.75">
      <c r="B505" s="248"/>
      <c r="C505" s="248"/>
      <c r="D505" s="248"/>
      <c r="E505" s="248"/>
      <c r="F505" s="248"/>
      <c r="G505" s="248"/>
      <c r="H505" s="248"/>
      <c r="I505" s="248"/>
      <c r="J505" s="248"/>
      <c r="K505" s="248"/>
      <c r="L505" s="248"/>
      <c r="M505" s="248"/>
      <c r="N505" s="248"/>
      <c r="O505" s="248"/>
      <c r="P505" s="248"/>
      <c r="Q505" s="248"/>
      <c r="R505" s="248"/>
      <c r="S505" s="248"/>
      <c r="T505" s="248"/>
      <c r="U505" s="248"/>
      <c r="V505" s="248"/>
      <c r="W505" s="248"/>
      <c r="X505" s="248"/>
      <c r="Y505" s="248"/>
      <c r="Z505" s="248"/>
      <c r="AA505" s="248"/>
      <c r="AB505" s="248"/>
    </row>
    <row r="506" spans="2:28" ht="15.75">
      <c r="B506" s="248"/>
      <c r="C506" s="248"/>
      <c r="D506" s="248"/>
      <c r="E506" s="248"/>
      <c r="F506" s="248"/>
      <c r="G506" s="248"/>
      <c r="H506" s="248"/>
      <c r="I506" s="248"/>
      <c r="J506" s="248"/>
      <c r="K506" s="248"/>
      <c r="L506" s="248"/>
      <c r="M506" s="248"/>
      <c r="N506" s="248"/>
      <c r="O506" s="248"/>
      <c r="P506" s="248"/>
      <c r="Q506" s="248"/>
      <c r="R506" s="248"/>
      <c r="S506" s="248"/>
      <c r="T506" s="248"/>
      <c r="U506" s="248"/>
      <c r="V506" s="248"/>
      <c r="W506" s="248"/>
      <c r="X506" s="248"/>
      <c r="Y506" s="248"/>
      <c r="Z506" s="248"/>
      <c r="AA506" s="248"/>
      <c r="AB506" s="248"/>
    </row>
    <row r="507" spans="2:28" ht="15.75">
      <c r="B507" s="248"/>
      <c r="C507" s="248"/>
      <c r="D507" s="248"/>
      <c r="E507" s="248"/>
      <c r="F507" s="248"/>
      <c r="G507" s="248"/>
      <c r="H507" s="248"/>
      <c r="I507" s="248"/>
      <c r="J507" s="248"/>
      <c r="K507" s="248"/>
      <c r="L507" s="248"/>
      <c r="M507" s="248"/>
      <c r="N507" s="248"/>
      <c r="O507" s="248"/>
      <c r="P507" s="248"/>
      <c r="Q507" s="248"/>
      <c r="R507" s="248"/>
      <c r="S507" s="248"/>
      <c r="T507" s="248"/>
      <c r="U507" s="248"/>
      <c r="V507" s="248"/>
      <c r="W507" s="248"/>
      <c r="X507" s="248"/>
      <c r="Y507" s="248"/>
      <c r="Z507" s="248"/>
      <c r="AA507" s="248"/>
      <c r="AB507" s="248"/>
    </row>
    <row r="508" spans="2:28" ht="15.75">
      <c r="B508" s="248"/>
      <c r="C508" s="248"/>
      <c r="D508" s="248"/>
      <c r="E508" s="248"/>
      <c r="F508" s="248"/>
      <c r="G508" s="248"/>
      <c r="H508" s="248"/>
      <c r="I508" s="248"/>
      <c r="J508" s="248"/>
      <c r="K508" s="248"/>
      <c r="L508" s="248"/>
      <c r="M508" s="248"/>
      <c r="N508" s="248"/>
      <c r="O508" s="248"/>
      <c r="P508" s="248"/>
      <c r="Q508" s="248"/>
      <c r="R508" s="248"/>
      <c r="S508" s="248"/>
      <c r="T508" s="248"/>
      <c r="U508" s="248"/>
      <c r="V508" s="248"/>
      <c r="W508" s="248"/>
      <c r="X508" s="248"/>
      <c r="Y508" s="248"/>
      <c r="Z508" s="248"/>
      <c r="AA508" s="248"/>
      <c r="AB508" s="248"/>
    </row>
    <row r="509" spans="2:28" ht="15.75">
      <c r="B509" s="248"/>
      <c r="C509" s="248"/>
      <c r="D509" s="248"/>
      <c r="E509" s="248"/>
      <c r="F509" s="248"/>
      <c r="G509" s="248"/>
      <c r="H509" s="248"/>
      <c r="I509" s="248"/>
      <c r="J509" s="248"/>
      <c r="K509" s="248"/>
      <c r="L509" s="248"/>
      <c r="M509" s="248"/>
      <c r="N509" s="248"/>
      <c r="O509" s="248"/>
      <c r="P509" s="248"/>
      <c r="Q509" s="248"/>
      <c r="R509" s="248"/>
      <c r="S509" s="248"/>
      <c r="T509" s="248"/>
      <c r="U509" s="248"/>
      <c r="V509" s="248"/>
      <c r="W509" s="248"/>
      <c r="X509" s="248"/>
      <c r="Y509" s="248"/>
      <c r="Z509" s="248"/>
      <c r="AA509" s="248"/>
      <c r="AB509" s="248"/>
    </row>
    <row r="510" spans="2:28" ht="15.75">
      <c r="B510" s="248"/>
      <c r="C510" s="248"/>
      <c r="D510" s="248"/>
      <c r="E510" s="248"/>
      <c r="F510" s="248"/>
      <c r="G510" s="248"/>
      <c r="H510" s="248"/>
      <c r="I510" s="248"/>
      <c r="J510" s="248"/>
      <c r="K510" s="248"/>
      <c r="L510" s="248"/>
      <c r="M510" s="248"/>
      <c r="N510" s="248"/>
      <c r="O510" s="248"/>
      <c r="P510" s="248"/>
      <c r="Q510" s="248"/>
      <c r="R510" s="248"/>
      <c r="S510" s="248"/>
      <c r="T510" s="248"/>
      <c r="U510" s="248"/>
      <c r="V510" s="248"/>
      <c r="W510" s="248"/>
      <c r="X510" s="248"/>
      <c r="Y510" s="248"/>
      <c r="Z510" s="248"/>
      <c r="AA510" s="248"/>
      <c r="AB510" s="248"/>
    </row>
    <row r="511" spans="2:28" ht="15.75">
      <c r="B511" s="248"/>
      <c r="C511" s="248"/>
      <c r="D511" s="248"/>
      <c r="E511" s="248"/>
      <c r="F511" s="248"/>
      <c r="G511" s="248"/>
      <c r="H511" s="248"/>
      <c r="I511" s="248"/>
      <c r="J511" s="248"/>
      <c r="K511" s="248"/>
      <c r="L511" s="248"/>
      <c r="M511" s="248"/>
      <c r="N511" s="248"/>
      <c r="O511" s="248"/>
      <c r="P511" s="248"/>
      <c r="Q511" s="248"/>
      <c r="R511" s="248"/>
      <c r="S511" s="248"/>
      <c r="T511" s="248"/>
      <c r="U511" s="248"/>
      <c r="V511" s="248"/>
      <c r="W511" s="248"/>
      <c r="X511" s="248"/>
      <c r="Y511" s="248"/>
      <c r="Z511" s="248"/>
      <c r="AA511" s="248"/>
      <c r="AB511" s="248"/>
    </row>
    <row r="512" spans="2:28" ht="15.75">
      <c r="B512" s="248"/>
      <c r="C512" s="248"/>
      <c r="D512" s="248"/>
      <c r="E512" s="248"/>
      <c r="F512" s="248"/>
      <c r="G512" s="248"/>
      <c r="H512" s="248"/>
      <c r="I512" s="248"/>
      <c r="J512" s="248"/>
      <c r="K512" s="248"/>
      <c r="L512" s="248"/>
      <c r="M512" s="248"/>
      <c r="N512" s="248"/>
      <c r="O512" s="248"/>
      <c r="P512" s="248"/>
      <c r="Q512" s="248"/>
      <c r="R512" s="248"/>
      <c r="S512" s="248"/>
      <c r="T512" s="248"/>
      <c r="U512" s="248"/>
      <c r="V512" s="248"/>
      <c r="W512" s="248"/>
      <c r="X512" s="248"/>
      <c r="Y512" s="248"/>
      <c r="Z512" s="248"/>
      <c r="AA512" s="248"/>
      <c r="AB512" s="248"/>
    </row>
    <row r="513" spans="2:28" ht="15.75">
      <c r="B513" s="248"/>
      <c r="C513" s="248"/>
      <c r="D513" s="248"/>
      <c r="E513" s="248"/>
      <c r="F513" s="248"/>
      <c r="G513" s="248"/>
      <c r="H513" s="248"/>
      <c r="I513" s="248"/>
      <c r="J513" s="248"/>
      <c r="K513" s="248"/>
      <c r="L513" s="248"/>
      <c r="M513" s="248"/>
      <c r="N513" s="248"/>
      <c r="O513" s="248"/>
      <c r="P513" s="248"/>
      <c r="Q513" s="248"/>
      <c r="R513" s="248"/>
      <c r="S513" s="248"/>
      <c r="T513" s="248"/>
      <c r="U513" s="248"/>
      <c r="V513" s="248"/>
      <c r="W513" s="248"/>
      <c r="X513" s="248"/>
      <c r="Y513" s="248"/>
      <c r="Z513" s="248"/>
      <c r="AA513" s="248"/>
      <c r="AB513" s="248"/>
    </row>
    <row r="514" spans="2:28" ht="15.75">
      <c r="B514" s="248"/>
      <c r="C514" s="248"/>
      <c r="D514" s="248"/>
      <c r="E514" s="248"/>
      <c r="F514" s="248"/>
      <c r="G514" s="248"/>
      <c r="H514" s="248"/>
      <c r="I514" s="248"/>
      <c r="J514" s="248"/>
      <c r="K514" s="248"/>
      <c r="L514" s="248"/>
      <c r="M514" s="248"/>
      <c r="N514" s="248"/>
      <c r="O514" s="248"/>
      <c r="P514" s="248"/>
      <c r="Q514" s="248"/>
      <c r="R514" s="248"/>
      <c r="S514" s="248"/>
      <c r="T514" s="248"/>
      <c r="U514" s="248"/>
      <c r="V514" s="248"/>
      <c r="W514" s="248"/>
      <c r="X514" s="248"/>
      <c r="Y514" s="248"/>
      <c r="Z514" s="248"/>
      <c r="AA514" s="248"/>
      <c r="AB514" s="248"/>
    </row>
    <row r="515" spans="2:28" ht="15.75">
      <c r="B515" s="248"/>
      <c r="C515" s="248"/>
      <c r="D515" s="248"/>
      <c r="E515" s="248"/>
      <c r="F515" s="248"/>
      <c r="G515" s="248"/>
      <c r="H515" s="248"/>
      <c r="I515" s="248"/>
      <c r="J515" s="248"/>
      <c r="K515" s="248"/>
      <c r="L515" s="248"/>
      <c r="M515" s="248"/>
      <c r="N515" s="248"/>
      <c r="O515" s="248"/>
      <c r="P515" s="248"/>
      <c r="Q515" s="248"/>
      <c r="R515" s="248"/>
      <c r="S515" s="248"/>
      <c r="T515" s="248"/>
      <c r="U515" s="248"/>
      <c r="V515" s="248"/>
      <c r="W515" s="248"/>
      <c r="X515" s="248"/>
      <c r="Y515" s="248"/>
      <c r="Z515" s="248"/>
      <c r="AA515" s="248"/>
      <c r="AB515" s="248"/>
    </row>
    <row r="516" spans="2:28" ht="15.75">
      <c r="B516" s="248"/>
      <c r="C516" s="248"/>
      <c r="D516" s="248"/>
      <c r="E516" s="248"/>
      <c r="F516" s="248"/>
      <c r="G516" s="248"/>
      <c r="H516" s="248"/>
      <c r="I516" s="248"/>
      <c r="J516" s="248"/>
      <c r="K516" s="248"/>
      <c r="L516" s="248"/>
      <c r="M516" s="248"/>
      <c r="N516" s="248"/>
      <c r="O516" s="248"/>
      <c r="P516" s="248"/>
      <c r="Q516" s="248"/>
      <c r="R516" s="248"/>
      <c r="S516" s="248"/>
      <c r="T516" s="248"/>
      <c r="U516" s="248"/>
      <c r="V516" s="248"/>
      <c r="W516" s="248"/>
      <c r="X516" s="248"/>
      <c r="Y516" s="248"/>
      <c r="Z516" s="248"/>
      <c r="AA516" s="248"/>
      <c r="AB516" s="248"/>
    </row>
    <row r="517" spans="2:28" ht="15.75">
      <c r="B517" s="248"/>
      <c r="C517" s="248"/>
      <c r="D517" s="248"/>
      <c r="E517" s="248"/>
      <c r="F517" s="248"/>
      <c r="G517" s="248"/>
      <c r="H517" s="248"/>
      <c r="I517" s="248"/>
      <c r="J517" s="248"/>
      <c r="K517" s="248"/>
      <c r="L517" s="248"/>
      <c r="M517" s="248"/>
      <c r="N517" s="248"/>
      <c r="O517" s="248"/>
      <c r="P517" s="248"/>
      <c r="Q517" s="248"/>
      <c r="R517" s="248"/>
      <c r="S517" s="248"/>
      <c r="T517" s="248"/>
      <c r="U517" s="248"/>
      <c r="V517" s="248"/>
      <c r="W517" s="248"/>
      <c r="X517" s="248"/>
      <c r="Y517" s="248"/>
      <c r="Z517" s="248"/>
      <c r="AA517" s="248"/>
      <c r="AB517" s="248"/>
    </row>
    <row r="518" spans="2:28" ht="15.75">
      <c r="B518" s="248"/>
      <c r="C518" s="248"/>
      <c r="D518" s="248"/>
      <c r="E518" s="248"/>
      <c r="F518" s="248"/>
      <c r="G518" s="248"/>
      <c r="H518" s="248"/>
      <c r="I518" s="248"/>
      <c r="J518" s="248"/>
      <c r="K518" s="248"/>
      <c r="L518" s="248"/>
      <c r="M518" s="248"/>
      <c r="N518" s="248"/>
      <c r="O518" s="248"/>
      <c r="P518" s="248"/>
      <c r="Q518" s="248"/>
      <c r="R518" s="248"/>
      <c r="S518" s="248"/>
      <c r="T518" s="248"/>
      <c r="U518" s="248"/>
      <c r="V518" s="248"/>
      <c r="W518" s="248"/>
      <c r="X518" s="248"/>
      <c r="Y518" s="248"/>
      <c r="Z518" s="248"/>
      <c r="AA518" s="248"/>
      <c r="AB518" s="248"/>
    </row>
    <row r="519" spans="2:28" ht="15.75">
      <c r="B519" s="248"/>
      <c r="C519" s="248"/>
      <c r="D519" s="248"/>
      <c r="E519" s="248"/>
      <c r="F519" s="248"/>
      <c r="G519" s="248"/>
      <c r="H519" s="248"/>
      <c r="I519" s="248"/>
      <c r="J519" s="248"/>
      <c r="K519" s="248"/>
      <c r="L519" s="248"/>
      <c r="M519" s="248"/>
      <c r="N519" s="248"/>
      <c r="O519" s="248"/>
      <c r="P519" s="248"/>
      <c r="Q519" s="248"/>
      <c r="R519" s="248"/>
      <c r="S519" s="248"/>
      <c r="T519" s="248"/>
      <c r="U519" s="248"/>
      <c r="V519" s="248"/>
      <c r="W519" s="248"/>
      <c r="X519" s="248"/>
      <c r="Y519" s="248"/>
      <c r="Z519" s="248"/>
      <c r="AA519" s="248"/>
      <c r="AB519" s="248"/>
    </row>
    <row r="520" spans="2:28" ht="15.75">
      <c r="B520" s="248"/>
      <c r="C520" s="248"/>
      <c r="D520" s="248"/>
      <c r="E520" s="248"/>
      <c r="F520" s="248"/>
      <c r="G520" s="248"/>
      <c r="H520" s="248"/>
      <c r="I520" s="248"/>
      <c r="J520" s="248"/>
      <c r="K520" s="248"/>
      <c r="L520" s="248"/>
      <c r="M520" s="248"/>
      <c r="N520" s="248"/>
      <c r="O520" s="248"/>
      <c r="P520" s="248"/>
      <c r="Q520" s="248"/>
      <c r="R520" s="248"/>
      <c r="S520" s="248"/>
      <c r="T520" s="248"/>
      <c r="U520" s="248"/>
      <c r="V520" s="248"/>
      <c r="W520" s="248"/>
      <c r="X520" s="248"/>
      <c r="Y520" s="248"/>
      <c r="Z520" s="248"/>
      <c r="AA520" s="248"/>
      <c r="AB520" s="248"/>
    </row>
    <row r="521" spans="2:28" ht="15.75">
      <c r="B521" s="248"/>
      <c r="C521" s="248"/>
      <c r="D521" s="248"/>
      <c r="E521" s="248"/>
      <c r="F521" s="248"/>
      <c r="G521" s="248"/>
      <c r="H521" s="248"/>
      <c r="I521" s="248"/>
      <c r="J521" s="248"/>
      <c r="K521" s="248"/>
      <c r="L521" s="248"/>
      <c r="M521" s="248"/>
      <c r="N521" s="248"/>
      <c r="O521" s="248"/>
      <c r="P521" s="248"/>
      <c r="Q521" s="248"/>
      <c r="R521" s="248"/>
      <c r="S521" s="248"/>
      <c r="T521" s="248"/>
      <c r="U521" s="248"/>
      <c r="V521" s="248"/>
      <c r="W521" s="248"/>
      <c r="X521" s="248"/>
      <c r="Y521" s="248"/>
      <c r="Z521" s="248"/>
      <c r="AA521" s="248"/>
      <c r="AB521" s="248"/>
    </row>
    <row r="522" spans="2:28" ht="15.75">
      <c r="B522" s="248"/>
      <c r="C522" s="248"/>
      <c r="D522" s="248"/>
      <c r="E522" s="248"/>
      <c r="F522" s="248"/>
      <c r="G522" s="248"/>
      <c r="H522" s="248"/>
      <c r="I522" s="248"/>
      <c r="J522" s="248"/>
      <c r="K522" s="248"/>
      <c r="L522" s="248"/>
      <c r="M522" s="248"/>
      <c r="N522" s="248"/>
      <c r="O522" s="248"/>
      <c r="P522" s="248"/>
      <c r="Q522" s="248"/>
      <c r="R522" s="248"/>
      <c r="S522" s="248"/>
      <c r="T522" s="248"/>
      <c r="U522" s="248"/>
      <c r="V522" s="248"/>
      <c r="W522" s="248"/>
      <c r="X522" s="248"/>
      <c r="Y522" s="248"/>
      <c r="Z522" s="248"/>
      <c r="AA522" s="248"/>
      <c r="AB522" s="248"/>
    </row>
    <row r="523" spans="2:28" ht="15.75">
      <c r="B523" s="248"/>
      <c r="C523" s="248"/>
      <c r="D523" s="248"/>
      <c r="E523" s="248"/>
      <c r="F523" s="248"/>
      <c r="G523" s="248"/>
      <c r="H523" s="248"/>
      <c r="I523" s="248"/>
      <c r="J523" s="248"/>
      <c r="K523" s="248"/>
      <c r="L523" s="248"/>
      <c r="M523" s="248"/>
      <c r="N523" s="248"/>
      <c r="O523" s="248"/>
      <c r="P523" s="248"/>
      <c r="Q523" s="248"/>
      <c r="R523" s="248"/>
      <c r="S523" s="248"/>
      <c r="T523" s="248"/>
      <c r="U523" s="248"/>
      <c r="V523" s="248"/>
      <c r="W523" s="248"/>
      <c r="X523" s="248"/>
      <c r="Y523" s="248"/>
      <c r="Z523" s="248"/>
      <c r="AA523" s="248"/>
      <c r="AB523" s="248"/>
    </row>
    <row r="524" spans="2:28" ht="15.75">
      <c r="B524" s="248"/>
      <c r="C524" s="248"/>
      <c r="D524" s="248"/>
      <c r="E524" s="248"/>
      <c r="F524" s="248"/>
      <c r="G524" s="248"/>
      <c r="H524" s="248"/>
      <c r="I524" s="248"/>
      <c r="J524" s="248"/>
      <c r="K524" s="248"/>
      <c r="L524" s="248"/>
      <c r="M524" s="248"/>
      <c r="N524" s="248"/>
      <c r="O524" s="248"/>
      <c r="P524" s="248"/>
      <c r="Q524" s="248"/>
      <c r="R524" s="248"/>
      <c r="S524" s="248"/>
      <c r="T524" s="248"/>
      <c r="U524" s="248"/>
      <c r="V524" s="248"/>
      <c r="W524" s="248"/>
      <c r="X524" s="248"/>
      <c r="Y524" s="248"/>
      <c r="Z524" s="248"/>
      <c r="AA524" s="248"/>
      <c r="AB524" s="248"/>
    </row>
    <row r="525" spans="2:28" ht="15.75">
      <c r="B525" s="248"/>
      <c r="C525" s="248"/>
      <c r="D525" s="248"/>
      <c r="E525" s="248"/>
      <c r="F525" s="248"/>
      <c r="G525" s="248"/>
      <c r="H525" s="248"/>
      <c r="I525" s="248"/>
      <c r="J525" s="248"/>
      <c r="K525" s="248"/>
      <c r="L525" s="248"/>
      <c r="M525" s="248"/>
      <c r="N525" s="248"/>
      <c r="O525" s="248"/>
      <c r="P525" s="248"/>
      <c r="Q525" s="248"/>
      <c r="R525" s="248"/>
      <c r="S525" s="248"/>
      <c r="T525" s="248"/>
      <c r="U525" s="248"/>
      <c r="V525" s="248"/>
      <c r="W525" s="248"/>
      <c r="X525" s="248"/>
      <c r="Y525" s="248"/>
      <c r="Z525" s="248"/>
      <c r="AA525" s="248"/>
      <c r="AB525" s="248"/>
    </row>
    <row r="526" spans="2:28" ht="15.75">
      <c r="B526" s="248"/>
      <c r="C526" s="248"/>
      <c r="D526" s="248"/>
      <c r="E526" s="248"/>
      <c r="F526" s="248"/>
      <c r="G526" s="248"/>
      <c r="H526" s="248"/>
      <c r="I526" s="248"/>
      <c r="J526" s="248"/>
      <c r="K526" s="248"/>
      <c r="L526" s="248"/>
      <c r="M526" s="248"/>
      <c r="N526" s="248"/>
      <c r="O526" s="248"/>
      <c r="P526" s="248"/>
      <c r="Q526" s="248"/>
      <c r="R526" s="248"/>
      <c r="S526" s="248"/>
      <c r="T526" s="248"/>
      <c r="U526" s="248"/>
      <c r="V526" s="248"/>
      <c r="W526" s="248"/>
      <c r="X526" s="248"/>
      <c r="Y526" s="248"/>
      <c r="Z526" s="248"/>
      <c r="AA526" s="248"/>
      <c r="AB526" s="248"/>
    </row>
    <row r="527" spans="2:28" ht="15.75">
      <c r="B527" s="248"/>
      <c r="C527" s="248"/>
      <c r="D527" s="248"/>
      <c r="E527" s="248"/>
      <c r="F527" s="248"/>
      <c r="G527" s="248"/>
      <c r="H527" s="248"/>
      <c r="I527" s="248"/>
      <c r="J527" s="248"/>
      <c r="K527" s="248"/>
      <c r="L527" s="248"/>
      <c r="M527" s="248"/>
      <c r="N527" s="248"/>
      <c r="O527" s="248"/>
      <c r="P527" s="248"/>
      <c r="Q527" s="248"/>
      <c r="R527" s="248"/>
      <c r="S527" s="248"/>
      <c r="T527" s="248"/>
      <c r="U527" s="248"/>
      <c r="V527" s="248"/>
      <c r="W527" s="248"/>
      <c r="X527" s="248"/>
      <c r="Y527" s="248"/>
      <c r="Z527" s="248"/>
      <c r="AA527" s="248"/>
      <c r="AB527" s="248"/>
    </row>
    <row r="528" spans="2:28" ht="15.75">
      <c r="B528" s="248"/>
      <c r="C528" s="248"/>
      <c r="D528" s="248"/>
      <c r="E528" s="248"/>
      <c r="F528" s="248"/>
      <c r="G528" s="248"/>
      <c r="H528" s="248"/>
      <c r="I528" s="248"/>
      <c r="J528" s="248"/>
      <c r="K528" s="248"/>
      <c r="L528" s="248"/>
      <c r="M528" s="248"/>
      <c r="N528" s="248"/>
      <c r="O528" s="248"/>
      <c r="P528" s="248"/>
      <c r="Q528" s="248"/>
      <c r="R528" s="248"/>
      <c r="S528" s="248"/>
      <c r="T528" s="248"/>
      <c r="U528" s="248"/>
      <c r="V528" s="248"/>
      <c r="W528" s="248"/>
      <c r="X528" s="248"/>
      <c r="Y528" s="248"/>
      <c r="Z528" s="248"/>
      <c r="AA528" s="248"/>
      <c r="AB528" s="248"/>
    </row>
    <row r="529" spans="2:28" ht="15.75">
      <c r="B529" s="248"/>
      <c r="C529" s="248"/>
      <c r="D529" s="248"/>
      <c r="E529" s="248"/>
      <c r="F529" s="248"/>
      <c r="G529" s="248"/>
      <c r="H529" s="248"/>
      <c r="I529" s="248"/>
      <c r="J529" s="248"/>
      <c r="K529" s="248"/>
      <c r="L529" s="248"/>
      <c r="M529" s="248"/>
      <c r="N529" s="248"/>
      <c r="O529" s="248"/>
      <c r="P529" s="248"/>
      <c r="Q529" s="248"/>
      <c r="R529" s="248"/>
      <c r="S529" s="248"/>
      <c r="T529" s="248"/>
      <c r="U529" s="248"/>
      <c r="V529" s="248"/>
      <c r="W529" s="248"/>
      <c r="X529" s="248"/>
      <c r="Y529" s="248"/>
      <c r="Z529" s="248"/>
      <c r="AA529" s="248"/>
      <c r="AB529" s="248"/>
    </row>
    <row r="530" spans="2:28" ht="15.75">
      <c r="B530" s="248"/>
      <c r="C530" s="248"/>
      <c r="D530" s="248"/>
      <c r="E530" s="248"/>
      <c r="F530" s="248"/>
      <c r="G530" s="248"/>
      <c r="H530" s="248"/>
      <c r="I530" s="248"/>
      <c r="J530" s="248"/>
      <c r="K530" s="248"/>
      <c r="L530" s="248"/>
      <c r="M530" s="248"/>
      <c r="N530" s="248"/>
      <c r="O530" s="248"/>
      <c r="P530" s="248"/>
      <c r="Q530" s="248"/>
      <c r="R530" s="248"/>
      <c r="S530" s="248"/>
      <c r="T530" s="248"/>
      <c r="U530" s="248"/>
      <c r="V530" s="248"/>
      <c r="W530" s="248"/>
      <c r="X530" s="248"/>
      <c r="Y530" s="248"/>
      <c r="Z530" s="248"/>
      <c r="AA530" s="248"/>
      <c r="AB530" s="248"/>
    </row>
    <row r="531" spans="2:28" ht="15.75">
      <c r="B531" s="248"/>
      <c r="C531" s="248"/>
      <c r="D531" s="248"/>
      <c r="E531" s="248"/>
      <c r="F531" s="248"/>
      <c r="G531" s="248"/>
      <c r="H531" s="248"/>
      <c r="I531" s="248"/>
      <c r="J531" s="248"/>
      <c r="K531" s="248"/>
      <c r="L531" s="248"/>
      <c r="M531" s="248"/>
      <c r="N531" s="248"/>
      <c r="O531" s="248"/>
      <c r="P531" s="248"/>
      <c r="Q531" s="248"/>
      <c r="R531" s="248"/>
      <c r="S531" s="248"/>
      <c r="T531" s="248"/>
      <c r="U531" s="248"/>
      <c r="V531" s="248"/>
      <c r="W531" s="248"/>
      <c r="X531" s="248"/>
      <c r="Y531" s="248"/>
      <c r="Z531" s="248"/>
      <c r="AA531" s="248"/>
      <c r="AB531" s="248"/>
    </row>
    <row r="532" spans="2:28" ht="15.75">
      <c r="B532" s="248"/>
      <c r="C532" s="248"/>
      <c r="D532" s="248"/>
      <c r="E532" s="248"/>
      <c r="F532" s="248"/>
      <c r="G532" s="248"/>
      <c r="H532" s="248"/>
      <c r="I532" s="248"/>
      <c r="J532" s="248"/>
      <c r="K532" s="248"/>
      <c r="L532" s="248"/>
      <c r="M532" s="248"/>
      <c r="N532" s="248"/>
      <c r="O532" s="248"/>
      <c r="P532" s="248"/>
      <c r="Q532" s="248"/>
      <c r="R532" s="248"/>
      <c r="S532" s="248"/>
      <c r="T532" s="248"/>
      <c r="U532" s="248"/>
      <c r="V532" s="248"/>
      <c r="W532" s="248"/>
      <c r="X532" s="248"/>
      <c r="Y532" s="248"/>
      <c r="Z532" s="248"/>
      <c r="AA532" s="248"/>
      <c r="AB532" s="248"/>
    </row>
    <row r="533" spans="2:28" ht="15.75">
      <c r="B533" s="248"/>
      <c r="C533" s="248"/>
      <c r="D533" s="248"/>
      <c r="E533" s="248"/>
      <c r="F533" s="248"/>
      <c r="G533" s="248"/>
      <c r="H533" s="248"/>
      <c r="I533" s="248"/>
      <c r="J533" s="248"/>
      <c r="K533" s="248"/>
      <c r="L533" s="248"/>
      <c r="M533" s="248"/>
      <c r="N533" s="248"/>
      <c r="O533" s="248"/>
      <c r="P533" s="248"/>
      <c r="Q533" s="248"/>
      <c r="R533" s="248"/>
      <c r="S533" s="248"/>
      <c r="T533" s="248"/>
      <c r="U533" s="248"/>
      <c r="V533" s="248"/>
      <c r="W533" s="248"/>
      <c r="X533" s="248"/>
      <c r="Y533" s="248"/>
      <c r="Z533" s="248"/>
      <c r="AA533" s="248"/>
      <c r="AB533" s="248"/>
    </row>
    <row r="534" spans="2:28" ht="15.75">
      <c r="B534" s="248"/>
      <c r="C534" s="248"/>
      <c r="D534" s="248"/>
      <c r="E534" s="248"/>
      <c r="F534" s="248"/>
      <c r="G534" s="248"/>
      <c r="H534" s="248"/>
      <c r="I534" s="248"/>
      <c r="J534" s="248"/>
      <c r="K534" s="248"/>
      <c r="L534" s="248"/>
      <c r="M534" s="248"/>
      <c r="N534" s="248"/>
      <c r="O534" s="248"/>
      <c r="P534" s="248"/>
      <c r="Q534" s="248"/>
      <c r="R534" s="248"/>
      <c r="S534" s="248"/>
      <c r="T534" s="248"/>
      <c r="U534" s="248"/>
      <c r="V534" s="248"/>
      <c r="W534" s="248"/>
      <c r="X534" s="248"/>
      <c r="Y534" s="248"/>
      <c r="Z534" s="248"/>
      <c r="AA534" s="248"/>
      <c r="AB534" s="248"/>
    </row>
    <row r="535" spans="2:28" ht="15.75">
      <c r="B535" s="248"/>
      <c r="C535" s="248"/>
      <c r="D535" s="248"/>
      <c r="E535" s="248"/>
      <c r="F535" s="248"/>
      <c r="G535" s="248"/>
      <c r="H535" s="248"/>
      <c r="I535" s="248"/>
      <c r="J535" s="248"/>
      <c r="K535" s="248"/>
      <c r="L535" s="248"/>
      <c r="M535" s="248"/>
      <c r="N535" s="248"/>
      <c r="O535" s="248"/>
      <c r="P535" s="248"/>
      <c r="Q535" s="248"/>
      <c r="R535" s="248"/>
      <c r="S535" s="248"/>
      <c r="T535" s="248"/>
      <c r="U535" s="248"/>
      <c r="V535" s="248"/>
      <c r="W535" s="248"/>
      <c r="X535" s="248"/>
      <c r="Y535" s="248"/>
      <c r="Z535" s="248"/>
      <c r="AA535" s="248"/>
      <c r="AB535" s="248"/>
    </row>
    <row r="536" spans="2:28" ht="15.75">
      <c r="B536" s="248"/>
      <c r="C536" s="248"/>
      <c r="D536" s="248"/>
      <c r="E536" s="248"/>
      <c r="F536" s="248"/>
      <c r="G536" s="248"/>
      <c r="H536" s="248"/>
      <c r="I536" s="248"/>
      <c r="J536" s="248"/>
      <c r="K536" s="248"/>
      <c r="L536" s="248"/>
      <c r="M536" s="248"/>
      <c r="N536" s="248"/>
      <c r="O536" s="248"/>
      <c r="P536" s="248"/>
      <c r="Q536" s="248"/>
      <c r="R536" s="248"/>
      <c r="S536" s="248"/>
      <c r="T536" s="248"/>
      <c r="U536" s="248"/>
      <c r="V536" s="248"/>
      <c r="W536" s="248"/>
      <c r="X536" s="248"/>
      <c r="Y536" s="248"/>
      <c r="Z536" s="248"/>
      <c r="AA536" s="248"/>
      <c r="AB536" s="248"/>
    </row>
    <row r="537" spans="2:28" ht="15.75">
      <c r="B537" s="248"/>
      <c r="C537" s="248"/>
      <c r="D537" s="248"/>
      <c r="E537" s="248"/>
      <c r="F537" s="248"/>
      <c r="G537" s="248"/>
      <c r="H537" s="248"/>
      <c r="I537" s="248"/>
      <c r="J537" s="248"/>
      <c r="K537" s="248"/>
      <c r="L537" s="248"/>
      <c r="M537" s="248"/>
      <c r="N537" s="248"/>
      <c r="O537" s="248"/>
      <c r="P537" s="248"/>
      <c r="Q537" s="248"/>
      <c r="R537" s="248"/>
      <c r="S537" s="248"/>
      <c r="T537" s="248"/>
      <c r="U537" s="248"/>
      <c r="V537" s="248"/>
      <c r="W537" s="248"/>
      <c r="X537" s="248"/>
      <c r="Y537" s="248"/>
      <c r="Z537" s="248"/>
      <c r="AA537" s="248"/>
      <c r="AB537" s="248"/>
    </row>
    <row r="538" spans="2:28" ht="15.75">
      <c r="B538" s="248"/>
      <c r="C538" s="248"/>
      <c r="D538" s="248"/>
      <c r="E538" s="248"/>
      <c r="F538" s="248"/>
      <c r="G538" s="248"/>
      <c r="H538" s="248"/>
      <c r="I538" s="248"/>
      <c r="J538" s="248"/>
      <c r="K538" s="248"/>
      <c r="L538" s="248"/>
      <c r="M538" s="248"/>
      <c r="N538" s="248"/>
      <c r="O538" s="248"/>
      <c r="P538" s="248"/>
      <c r="Q538" s="248"/>
      <c r="R538" s="248"/>
      <c r="S538" s="248"/>
      <c r="T538" s="248"/>
      <c r="U538" s="248"/>
      <c r="V538" s="248"/>
      <c r="W538" s="248"/>
      <c r="X538" s="248"/>
      <c r="Y538" s="248"/>
      <c r="Z538" s="248"/>
      <c r="AA538" s="248"/>
      <c r="AB538" s="248"/>
    </row>
    <row r="539" spans="2:28" ht="15.75">
      <c r="B539" s="248"/>
      <c r="C539" s="248"/>
      <c r="D539" s="248"/>
      <c r="E539" s="248"/>
      <c r="F539" s="248"/>
      <c r="G539" s="248"/>
      <c r="H539" s="248"/>
      <c r="I539" s="248"/>
      <c r="J539" s="248"/>
      <c r="K539" s="248"/>
      <c r="L539" s="248"/>
      <c r="M539" s="248"/>
      <c r="N539" s="248"/>
      <c r="O539" s="248"/>
      <c r="P539" s="248"/>
      <c r="Q539" s="248"/>
      <c r="R539" s="248"/>
      <c r="S539" s="248"/>
      <c r="T539" s="248"/>
      <c r="U539" s="248"/>
      <c r="V539" s="248"/>
      <c r="W539" s="248"/>
      <c r="X539" s="248"/>
      <c r="Y539" s="248"/>
      <c r="Z539" s="248"/>
      <c r="AA539" s="248"/>
      <c r="AB539" s="248"/>
    </row>
    <row r="540" spans="2:28" ht="15.75">
      <c r="B540" s="248"/>
      <c r="C540" s="248"/>
      <c r="D540" s="248"/>
      <c r="E540" s="248"/>
      <c r="F540" s="248"/>
      <c r="G540" s="248"/>
      <c r="H540" s="248"/>
      <c r="I540" s="248"/>
      <c r="J540" s="248"/>
      <c r="K540" s="248"/>
      <c r="L540" s="248"/>
      <c r="M540" s="248"/>
      <c r="N540" s="248"/>
      <c r="O540" s="248"/>
      <c r="P540" s="248"/>
      <c r="Q540" s="248"/>
      <c r="R540" s="248"/>
      <c r="S540" s="248"/>
      <c r="T540" s="248"/>
      <c r="U540" s="248"/>
      <c r="V540" s="248"/>
      <c r="W540" s="248"/>
      <c r="X540" s="248"/>
      <c r="Y540" s="248"/>
      <c r="Z540" s="248"/>
      <c r="AA540" s="248"/>
      <c r="AB540" s="248"/>
    </row>
    <row r="541" spans="2:28" ht="15.75">
      <c r="B541" s="248"/>
      <c r="C541" s="248"/>
      <c r="D541" s="248"/>
      <c r="E541" s="248"/>
      <c r="F541" s="248"/>
      <c r="G541" s="248"/>
      <c r="H541" s="248"/>
      <c r="I541" s="248"/>
      <c r="J541" s="248"/>
      <c r="K541" s="248"/>
      <c r="L541" s="248"/>
      <c r="M541" s="248"/>
      <c r="N541" s="248"/>
      <c r="O541" s="248"/>
      <c r="P541" s="248"/>
      <c r="Q541" s="248"/>
      <c r="R541" s="248"/>
      <c r="S541" s="248"/>
      <c r="T541" s="248"/>
      <c r="U541" s="248"/>
      <c r="V541" s="248"/>
      <c r="W541" s="248"/>
      <c r="X541" s="248"/>
      <c r="Y541" s="248"/>
      <c r="Z541" s="248"/>
      <c r="AA541" s="248"/>
      <c r="AB541" s="248"/>
    </row>
    <row r="542" spans="2:28" ht="15.75">
      <c r="B542" s="248"/>
      <c r="C542" s="248"/>
      <c r="D542" s="248"/>
      <c r="E542" s="248"/>
      <c r="F542" s="248"/>
      <c r="G542" s="248"/>
      <c r="H542" s="248"/>
      <c r="I542" s="248"/>
      <c r="J542" s="248"/>
      <c r="K542" s="248"/>
      <c r="L542" s="248"/>
      <c r="M542" s="248"/>
      <c r="N542" s="248"/>
      <c r="O542" s="248"/>
      <c r="P542" s="248"/>
      <c r="Q542" s="248"/>
      <c r="R542" s="248"/>
      <c r="S542" s="248"/>
      <c r="T542" s="248"/>
      <c r="U542" s="248"/>
      <c r="V542" s="248"/>
      <c r="W542" s="248"/>
      <c r="X542" s="248"/>
      <c r="Y542" s="248"/>
      <c r="Z542" s="248"/>
      <c r="AA542" s="248"/>
      <c r="AB542" s="248"/>
    </row>
    <row r="543" spans="2:28" ht="15.75">
      <c r="B543" s="248"/>
      <c r="C543" s="248"/>
      <c r="D543" s="248"/>
      <c r="E543" s="248"/>
      <c r="F543" s="248"/>
      <c r="G543" s="248"/>
      <c r="H543" s="248"/>
      <c r="I543" s="248"/>
      <c r="J543" s="248"/>
      <c r="K543" s="248"/>
      <c r="L543" s="248"/>
      <c r="M543" s="248"/>
      <c r="N543" s="248"/>
      <c r="O543" s="248"/>
      <c r="P543" s="248"/>
      <c r="Q543" s="248"/>
      <c r="R543" s="248"/>
      <c r="S543" s="248"/>
      <c r="T543" s="248"/>
      <c r="U543" s="248"/>
      <c r="V543" s="248"/>
      <c r="W543" s="248"/>
      <c r="X543" s="248"/>
      <c r="Y543" s="248"/>
      <c r="Z543" s="248"/>
      <c r="AA543" s="248"/>
      <c r="AB543" s="248"/>
    </row>
    <row r="544" spans="2:28" ht="15.75">
      <c r="B544" s="248"/>
      <c r="C544" s="248"/>
      <c r="D544" s="248"/>
      <c r="E544" s="248"/>
      <c r="F544" s="248"/>
      <c r="G544" s="248"/>
      <c r="H544" s="248"/>
      <c r="I544" s="248"/>
      <c r="J544" s="248"/>
      <c r="K544" s="248"/>
      <c r="L544" s="248"/>
      <c r="M544" s="248"/>
      <c r="N544" s="248"/>
      <c r="O544" s="248"/>
      <c r="P544" s="248"/>
      <c r="Q544" s="248"/>
      <c r="R544" s="248"/>
      <c r="S544" s="248"/>
      <c r="T544" s="248"/>
      <c r="U544" s="248"/>
      <c r="V544" s="248"/>
      <c r="W544" s="248"/>
      <c r="X544" s="248"/>
      <c r="Y544" s="248"/>
      <c r="Z544" s="248"/>
      <c r="AA544" s="248"/>
      <c r="AB544" s="248"/>
    </row>
    <row r="545" spans="2:28" ht="15.75">
      <c r="B545" s="248"/>
      <c r="C545" s="248"/>
      <c r="D545" s="248"/>
      <c r="E545" s="248"/>
      <c r="F545" s="248"/>
      <c r="G545" s="248"/>
      <c r="H545" s="248"/>
      <c r="I545" s="248"/>
      <c r="J545" s="248"/>
      <c r="K545" s="248"/>
      <c r="L545" s="248"/>
      <c r="M545" s="248"/>
      <c r="N545" s="248"/>
      <c r="O545" s="248"/>
      <c r="P545" s="248"/>
      <c r="Q545" s="248"/>
      <c r="R545" s="248"/>
      <c r="S545" s="248"/>
      <c r="T545" s="248"/>
      <c r="U545" s="248"/>
      <c r="V545" s="248"/>
      <c r="W545" s="248"/>
      <c r="X545" s="248"/>
      <c r="Y545" s="248"/>
      <c r="Z545" s="248"/>
      <c r="AA545" s="248"/>
      <c r="AB545" s="248"/>
    </row>
    <row r="546" spans="2:28" ht="15.75">
      <c r="B546" s="248"/>
      <c r="C546" s="248"/>
      <c r="D546" s="248"/>
      <c r="E546" s="248"/>
      <c r="F546" s="248"/>
      <c r="G546" s="248"/>
      <c r="H546" s="248"/>
      <c r="I546" s="248"/>
      <c r="J546" s="248"/>
      <c r="K546" s="248"/>
      <c r="L546" s="248"/>
      <c r="M546" s="248"/>
      <c r="N546" s="248"/>
      <c r="O546" s="248"/>
      <c r="P546" s="248"/>
      <c r="Q546" s="248"/>
      <c r="R546" s="248"/>
      <c r="S546" s="248"/>
      <c r="T546" s="248"/>
      <c r="U546" s="248"/>
      <c r="V546" s="248"/>
      <c r="W546" s="248"/>
      <c r="X546" s="248"/>
      <c r="Y546" s="248"/>
      <c r="Z546" s="248"/>
      <c r="AA546" s="248"/>
      <c r="AB546" s="248"/>
    </row>
    <row r="547" spans="2:28" ht="15.75">
      <c r="B547" s="248"/>
      <c r="C547" s="248"/>
      <c r="D547" s="248"/>
      <c r="E547" s="248"/>
      <c r="F547" s="248"/>
      <c r="G547" s="248"/>
      <c r="H547" s="248"/>
      <c r="I547" s="248"/>
      <c r="J547" s="248"/>
      <c r="K547" s="248"/>
      <c r="L547" s="248"/>
      <c r="M547" s="248"/>
      <c r="N547" s="248"/>
      <c r="O547" s="248"/>
      <c r="P547" s="248"/>
      <c r="Q547" s="248"/>
      <c r="R547" s="248"/>
      <c r="S547" s="248"/>
      <c r="T547" s="248"/>
      <c r="U547" s="248"/>
      <c r="V547" s="248"/>
      <c r="W547" s="248"/>
      <c r="X547" s="248"/>
      <c r="Y547" s="248"/>
      <c r="Z547" s="248"/>
      <c r="AA547" s="248"/>
      <c r="AB547" s="248"/>
    </row>
    <row r="548" spans="2:28" ht="15.75">
      <c r="B548" s="248"/>
      <c r="C548" s="248"/>
      <c r="D548" s="248"/>
      <c r="E548" s="248"/>
      <c r="F548" s="248"/>
      <c r="G548" s="248"/>
      <c r="H548" s="248"/>
      <c r="I548" s="248"/>
      <c r="J548" s="248"/>
      <c r="K548" s="248"/>
      <c r="L548" s="248"/>
      <c r="M548" s="248"/>
      <c r="N548" s="248"/>
      <c r="O548" s="248"/>
      <c r="P548" s="248"/>
      <c r="Q548" s="248"/>
      <c r="R548" s="248"/>
      <c r="S548" s="248"/>
      <c r="T548" s="248"/>
      <c r="U548" s="248"/>
      <c r="V548" s="248"/>
      <c r="W548" s="248"/>
      <c r="X548" s="248"/>
      <c r="Y548" s="248"/>
      <c r="Z548" s="248"/>
      <c r="AA548" s="248"/>
      <c r="AB548" s="248"/>
    </row>
    <row r="549" spans="2:28" ht="15.75">
      <c r="B549" s="248"/>
      <c r="C549" s="248"/>
      <c r="D549" s="248"/>
      <c r="E549" s="248"/>
      <c r="F549" s="248"/>
      <c r="G549" s="248"/>
      <c r="H549" s="248"/>
      <c r="I549" s="248"/>
      <c r="J549" s="248"/>
      <c r="K549" s="248"/>
      <c r="L549" s="248"/>
      <c r="M549" s="248"/>
      <c r="N549" s="248"/>
      <c r="O549" s="248"/>
      <c r="P549" s="248"/>
      <c r="Q549" s="248"/>
      <c r="R549" s="248"/>
      <c r="S549" s="248"/>
      <c r="T549" s="248"/>
      <c r="U549" s="248"/>
      <c r="V549" s="248"/>
      <c r="W549" s="248"/>
      <c r="X549" s="248"/>
      <c r="Y549" s="248"/>
      <c r="Z549" s="248"/>
      <c r="AA549" s="248"/>
      <c r="AB549" s="248"/>
    </row>
    <row r="550" spans="2:28" ht="15.75">
      <c r="B550" s="248"/>
      <c r="C550" s="248"/>
      <c r="D550" s="248"/>
      <c r="E550" s="248"/>
      <c r="F550" s="248"/>
      <c r="G550" s="248"/>
      <c r="H550" s="248"/>
      <c r="I550" s="248"/>
      <c r="J550" s="248"/>
      <c r="K550" s="248"/>
      <c r="L550" s="248"/>
      <c r="M550" s="248"/>
      <c r="N550" s="248"/>
      <c r="O550" s="248"/>
      <c r="P550" s="248"/>
      <c r="Q550" s="248"/>
      <c r="R550" s="248"/>
      <c r="S550" s="248"/>
      <c r="T550" s="248"/>
      <c r="U550" s="248"/>
      <c r="V550" s="248"/>
      <c r="W550" s="248"/>
      <c r="X550" s="248"/>
      <c r="Y550" s="248"/>
      <c r="Z550" s="248"/>
      <c r="AA550" s="248"/>
      <c r="AB550" s="248"/>
    </row>
    <row r="551" spans="2:28" ht="15.75">
      <c r="B551" s="248"/>
      <c r="C551" s="248"/>
      <c r="D551" s="248"/>
      <c r="E551" s="248"/>
      <c r="F551" s="248"/>
      <c r="G551" s="248"/>
      <c r="H551" s="248"/>
      <c r="I551" s="248"/>
      <c r="J551" s="248"/>
      <c r="K551" s="248"/>
      <c r="L551" s="248"/>
      <c r="M551" s="248"/>
      <c r="N551" s="248"/>
      <c r="O551" s="248"/>
      <c r="P551" s="248"/>
      <c r="Q551" s="248"/>
      <c r="R551" s="248"/>
      <c r="S551" s="248"/>
      <c r="T551" s="248"/>
      <c r="U551" s="248"/>
      <c r="V551" s="248"/>
      <c r="W551" s="248"/>
      <c r="X551" s="248"/>
      <c r="Y551" s="248"/>
      <c r="Z551" s="248"/>
      <c r="AA551" s="248"/>
      <c r="AB551" s="248"/>
    </row>
    <row r="552" spans="2:28" ht="15.75">
      <c r="B552" s="248"/>
      <c r="C552" s="248"/>
      <c r="D552" s="248"/>
      <c r="E552" s="248"/>
      <c r="F552" s="248"/>
      <c r="G552" s="248"/>
      <c r="H552" s="248"/>
      <c r="I552" s="248"/>
      <c r="J552" s="248"/>
      <c r="K552" s="248"/>
      <c r="L552" s="248"/>
      <c r="M552" s="248"/>
      <c r="N552" s="248"/>
      <c r="O552" s="248"/>
      <c r="P552" s="248"/>
      <c r="Q552" s="248"/>
      <c r="R552" s="248"/>
      <c r="S552" s="248"/>
      <c r="T552" s="248"/>
      <c r="U552" s="248"/>
      <c r="V552" s="248"/>
      <c r="W552" s="248"/>
      <c r="X552" s="248"/>
      <c r="Y552" s="248"/>
      <c r="Z552" s="248"/>
      <c r="AA552" s="248"/>
      <c r="AB552" s="248"/>
    </row>
    <row r="553" spans="2:28" ht="15.75">
      <c r="B553" s="248"/>
      <c r="C553" s="248"/>
      <c r="D553" s="248"/>
      <c r="E553" s="248"/>
      <c r="F553" s="248"/>
      <c r="G553" s="248"/>
      <c r="H553" s="248"/>
      <c r="I553" s="248"/>
      <c r="J553" s="248"/>
      <c r="K553" s="248"/>
      <c r="L553" s="248"/>
      <c r="M553" s="248"/>
      <c r="N553" s="248"/>
      <c r="O553" s="248"/>
      <c r="P553" s="248"/>
      <c r="Q553" s="248"/>
      <c r="R553" s="248"/>
      <c r="S553" s="248"/>
      <c r="T553" s="248"/>
      <c r="U553" s="248"/>
      <c r="V553" s="248"/>
      <c r="W553" s="248"/>
      <c r="X553" s="248"/>
      <c r="Y553" s="248"/>
      <c r="Z553" s="248"/>
      <c r="AA553" s="248"/>
      <c r="AB553" s="248"/>
    </row>
    <row r="554" spans="2:28" ht="15.75">
      <c r="B554" s="248"/>
      <c r="C554" s="248"/>
      <c r="D554" s="248"/>
      <c r="E554" s="248"/>
      <c r="F554" s="248"/>
      <c r="G554" s="248"/>
      <c r="H554" s="248"/>
      <c r="I554" s="248"/>
      <c r="J554" s="248"/>
      <c r="K554" s="248"/>
      <c r="L554" s="248"/>
      <c r="M554" s="248"/>
      <c r="N554" s="248"/>
      <c r="O554" s="248"/>
      <c r="P554" s="248"/>
      <c r="Q554" s="248"/>
      <c r="R554" s="248"/>
      <c r="S554" s="248"/>
      <c r="T554" s="248"/>
      <c r="U554" s="248"/>
      <c r="V554" s="248"/>
      <c r="W554" s="248"/>
      <c r="X554" s="248"/>
      <c r="Y554" s="248"/>
      <c r="Z554" s="248"/>
      <c r="AA554" s="248"/>
      <c r="AB554" s="248"/>
    </row>
    <row r="555" spans="2:28" ht="15.75">
      <c r="B555" s="248"/>
      <c r="C555" s="248"/>
      <c r="D555" s="248"/>
      <c r="E555" s="248"/>
      <c r="F555" s="248"/>
      <c r="G555" s="248"/>
      <c r="H555" s="248"/>
      <c r="I555" s="248"/>
      <c r="J555" s="248"/>
      <c r="K555" s="248"/>
      <c r="L555" s="248"/>
      <c r="M555" s="248"/>
      <c r="N555" s="248"/>
      <c r="O555" s="248"/>
      <c r="P555" s="248"/>
      <c r="Q555" s="248"/>
      <c r="R555" s="248"/>
      <c r="S555" s="248"/>
      <c r="T555" s="248"/>
      <c r="U555" s="248"/>
      <c r="V555" s="248"/>
      <c r="W555" s="248"/>
      <c r="X555" s="248"/>
      <c r="Y555" s="248"/>
      <c r="Z555" s="248"/>
      <c r="AA555" s="248"/>
      <c r="AB555" s="248"/>
    </row>
    <row r="556" spans="2:28" ht="15.75">
      <c r="B556" s="248"/>
      <c r="C556" s="248"/>
      <c r="D556" s="248"/>
      <c r="E556" s="248"/>
      <c r="F556" s="248"/>
      <c r="G556" s="248"/>
      <c r="H556" s="248"/>
      <c r="I556" s="248"/>
      <c r="J556" s="248"/>
      <c r="K556" s="248"/>
      <c r="L556" s="248"/>
      <c r="M556" s="248"/>
      <c r="N556" s="248"/>
      <c r="O556" s="248"/>
      <c r="P556" s="248"/>
      <c r="Q556" s="248"/>
      <c r="R556" s="248"/>
      <c r="S556" s="248"/>
      <c r="T556" s="248"/>
      <c r="U556" s="248"/>
      <c r="V556" s="248"/>
      <c r="W556" s="248"/>
      <c r="X556" s="248"/>
      <c r="Y556" s="248"/>
      <c r="Z556" s="248"/>
      <c r="AA556" s="248"/>
      <c r="AB556" s="248"/>
    </row>
    <row r="557" spans="2:28" ht="15.75">
      <c r="B557" s="248"/>
      <c r="C557" s="248"/>
      <c r="D557" s="248"/>
      <c r="E557" s="248"/>
      <c r="F557" s="248"/>
      <c r="G557" s="248"/>
      <c r="H557" s="248"/>
      <c r="I557" s="248"/>
      <c r="J557" s="248"/>
      <c r="K557" s="248"/>
      <c r="L557" s="248"/>
      <c r="M557" s="248"/>
      <c r="N557" s="248"/>
      <c r="O557" s="248"/>
      <c r="P557" s="248"/>
      <c r="Q557" s="248"/>
      <c r="R557" s="248"/>
      <c r="S557" s="248"/>
      <c r="T557" s="248"/>
      <c r="U557" s="248"/>
      <c r="V557" s="248"/>
      <c r="W557" s="248"/>
      <c r="X557" s="248"/>
      <c r="Y557" s="248"/>
      <c r="Z557" s="248"/>
      <c r="AA557" s="248"/>
      <c r="AB557" s="248"/>
    </row>
    <row r="558" spans="2:28" ht="15.75">
      <c r="B558" s="248"/>
      <c r="C558" s="248"/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8"/>
      <c r="P558" s="248"/>
      <c r="Q558" s="248"/>
      <c r="R558" s="248"/>
      <c r="S558" s="248"/>
      <c r="T558" s="248"/>
      <c r="U558" s="248"/>
      <c r="V558" s="248"/>
      <c r="W558" s="248"/>
      <c r="X558" s="248"/>
      <c r="Y558" s="248"/>
      <c r="Z558" s="248"/>
      <c r="AA558" s="248"/>
      <c r="AB558" s="248"/>
    </row>
    <row r="559" spans="2:28" ht="15.75">
      <c r="B559" s="248"/>
      <c r="C559" s="248"/>
      <c r="D559" s="248"/>
      <c r="E559" s="248"/>
      <c r="F559" s="248"/>
      <c r="G559" s="248"/>
      <c r="H559" s="248"/>
      <c r="I559" s="248"/>
      <c r="J559" s="248"/>
      <c r="K559" s="248"/>
      <c r="L559" s="248"/>
      <c r="M559" s="248"/>
      <c r="N559" s="248"/>
      <c r="O559" s="248"/>
      <c r="P559" s="248"/>
      <c r="Q559" s="248"/>
      <c r="R559" s="248"/>
      <c r="S559" s="248"/>
      <c r="T559" s="248"/>
      <c r="U559" s="248"/>
      <c r="V559" s="248"/>
      <c r="W559" s="248"/>
      <c r="X559" s="248"/>
      <c r="Y559" s="248"/>
      <c r="Z559" s="248"/>
      <c r="AA559" s="248"/>
      <c r="AB559" s="248"/>
    </row>
    <row r="560" spans="2:28" ht="15.75">
      <c r="B560" s="248"/>
      <c r="C560" s="248"/>
      <c r="D560" s="248"/>
      <c r="E560" s="248"/>
      <c r="F560" s="248"/>
      <c r="G560" s="248"/>
      <c r="H560" s="248"/>
      <c r="I560" s="248"/>
      <c r="J560" s="248"/>
      <c r="K560" s="248"/>
      <c r="L560" s="248"/>
      <c r="M560" s="248"/>
      <c r="N560" s="248"/>
      <c r="O560" s="248"/>
      <c r="P560" s="248"/>
      <c r="Q560" s="248"/>
      <c r="R560" s="248"/>
      <c r="S560" s="248"/>
      <c r="T560" s="248"/>
      <c r="U560" s="248"/>
      <c r="V560" s="248"/>
      <c r="W560" s="248"/>
      <c r="X560" s="248"/>
      <c r="Y560" s="248"/>
      <c r="Z560" s="248"/>
      <c r="AA560" s="248"/>
      <c r="AB560" s="248"/>
    </row>
    <row r="561" spans="2:28" ht="15.75">
      <c r="B561" s="248"/>
      <c r="C561" s="248"/>
      <c r="D561" s="248"/>
      <c r="E561" s="248"/>
      <c r="F561" s="248"/>
      <c r="G561" s="248"/>
      <c r="H561" s="248"/>
      <c r="I561" s="248"/>
      <c r="J561" s="248"/>
      <c r="K561" s="248"/>
      <c r="L561" s="248"/>
      <c r="M561" s="248"/>
      <c r="N561" s="248"/>
      <c r="O561" s="248"/>
      <c r="P561" s="248"/>
      <c r="Q561" s="248"/>
      <c r="R561" s="248"/>
      <c r="S561" s="248"/>
      <c r="T561" s="248"/>
      <c r="U561" s="248"/>
      <c r="V561" s="248"/>
      <c r="W561" s="248"/>
      <c r="X561" s="248"/>
      <c r="Y561" s="248"/>
      <c r="Z561" s="248"/>
      <c r="AA561" s="248"/>
      <c r="AB561" s="248"/>
    </row>
    <row r="562" spans="2:28" ht="15.75">
      <c r="B562" s="248"/>
      <c r="C562" s="248"/>
      <c r="D562" s="248"/>
      <c r="E562" s="248"/>
      <c r="F562" s="248"/>
      <c r="G562" s="248"/>
      <c r="H562" s="248"/>
      <c r="I562" s="248"/>
      <c r="J562" s="248"/>
      <c r="K562" s="248"/>
      <c r="L562" s="248"/>
      <c r="M562" s="248"/>
      <c r="N562" s="248"/>
      <c r="O562" s="248"/>
      <c r="P562" s="248"/>
      <c r="Q562" s="248"/>
      <c r="R562" s="248"/>
      <c r="S562" s="248"/>
      <c r="T562" s="248"/>
      <c r="U562" s="248"/>
      <c r="V562" s="248"/>
      <c r="W562" s="248"/>
      <c r="X562" s="248"/>
      <c r="Y562" s="248"/>
      <c r="Z562" s="248"/>
      <c r="AA562" s="248"/>
      <c r="AB562" s="248"/>
    </row>
    <row r="563" spans="2:28" ht="15.75">
      <c r="B563" s="248"/>
      <c r="C563" s="248"/>
      <c r="D563" s="248"/>
      <c r="E563" s="248"/>
      <c r="F563" s="248"/>
      <c r="G563" s="248"/>
      <c r="H563" s="248"/>
      <c r="I563" s="248"/>
      <c r="J563" s="248"/>
      <c r="K563" s="248"/>
      <c r="L563" s="248"/>
      <c r="M563" s="248"/>
      <c r="N563" s="248"/>
      <c r="O563" s="248"/>
      <c r="P563" s="248"/>
      <c r="Q563" s="248"/>
      <c r="R563" s="248"/>
      <c r="S563" s="248"/>
      <c r="T563" s="248"/>
      <c r="U563" s="248"/>
      <c r="V563" s="248"/>
      <c r="W563" s="248"/>
      <c r="X563" s="248"/>
      <c r="Y563" s="248"/>
      <c r="Z563" s="248"/>
      <c r="AA563" s="248"/>
      <c r="AB563" s="248"/>
    </row>
    <row r="564" spans="2:28" ht="15.75">
      <c r="B564" s="248"/>
      <c r="C564" s="248"/>
      <c r="D564" s="248"/>
      <c r="E564" s="248"/>
      <c r="F564" s="248"/>
      <c r="G564" s="248"/>
      <c r="H564" s="248"/>
      <c r="I564" s="248"/>
      <c r="J564" s="248"/>
      <c r="K564" s="248"/>
      <c r="L564" s="248"/>
      <c r="M564" s="248"/>
      <c r="N564" s="248"/>
      <c r="O564" s="248"/>
      <c r="P564" s="248"/>
      <c r="Q564" s="248"/>
      <c r="R564" s="248"/>
      <c r="S564" s="248"/>
      <c r="T564" s="248"/>
      <c r="U564" s="248"/>
      <c r="V564" s="248"/>
      <c r="W564" s="248"/>
      <c r="X564" s="248"/>
      <c r="Y564" s="248"/>
      <c r="Z564" s="248"/>
      <c r="AA564" s="248"/>
      <c r="AB564" s="248"/>
    </row>
    <row r="565" spans="2:28" ht="15.75">
      <c r="B565" s="248"/>
      <c r="C565" s="248"/>
      <c r="D565" s="248"/>
      <c r="E565" s="248"/>
      <c r="F565" s="248"/>
      <c r="G565" s="248"/>
      <c r="H565" s="248"/>
      <c r="I565" s="248"/>
      <c r="J565" s="248"/>
      <c r="K565" s="248"/>
      <c r="L565" s="248"/>
      <c r="M565" s="248"/>
      <c r="N565" s="248"/>
      <c r="O565" s="248"/>
      <c r="P565" s="248"/>
      <c r="Q565" s="248"/>
      <c r="R565" s="248"/>
      <c r="S565" s="248"/>
      <c r="T565" s="248"/>
      <c r="U565" s="248"/>
      <c r="V565" s="248"/>
      <c r="W565" s="248"/>
      <c r="X565" s="248"/>
      <c r="Y565" s="248"/>
      <c r="Z565" s="248"/>
      <c r="AA565" s="248"/>
      <c r="AB565" s="248"/>
    </row>
    <row r="566" spans="2:28" ht="15.75">
      <c r="B566" s="248"/>
      <c r="C566" s="248"/>
      <c r="D566" s="248"/>
      <c r="E566" s="248"/>
      <c r="F566" s="248"/>
      <c r="G566" s="248"/>
      <c r="H566" s="248"/>
      <c r="I566" s="248"/>
      <c r="J566" s="248"/>
      <c r="K566" s="248"/>
      <c r="L566" s="248"/>
      <c r="M566" s="248"/>
      <c r="N566" s="248"/>
      <c r="O566" s="248"/>
      <c r="P566" s="248"/>
      <c r="Q566" s="248"/>
      <c r="R566" s="248"/>
      <c r="S566" s="248"/>
      <c r="T566" s="248"/>
      <c r="U566" s="248"/>
      <c r="V566" s="248"/>
      <c r="W566" s="248"/>
      <c r="X566" s="248"/>
      <c r="Y566" s="248"/>
      <c r="Z566" s="248"/>
      <c r="AA566" s="248"/>
      <c r="AB566" s="248"/>
    </row>
    <row r="567" spans="2:28" ht="15.75">
      <c r="B567" s="248"/>
      <c r="C567" s="248"/>
      <c r="D567" s="248"/>
      <c r="E567" s="248"/>
      <c r="F567" s="248"/>
      <c r="G567" s="248"/>
      <c r="H567" s="248"/>
      <c r="I567" s="248"/>
      <c r="J567" s="248"/>
      <c r="K567" s="248"/>
      <c r="L567" s="248"/>
      <c r="M567" s="248"/>
      <c r="N567" s="248"/>
      <c r="O567" s="248"/>
      <c r="P567" s="248"/>
      <c r="Q567" s="248"/>
      <c r="R567" s="248"/>
      <c r="S567" s="248"/>
      <c r="T567" s="248"/>
      <c r="U567" s="248"/>
      <c r="V567" s="248"/>
      <c r="W567" s="248"/>
      <c r="X567" s="248"/>
      <c r="Y567" s="248"/>
      <c r="Z567" s="248"/>
      <c r="AA567" s="248"/>
      <c r="AB567" s="248"/>
    </row>
    <row r="568" spans="2:28" ht="15.75">
      <c r="B568" s="248"/>
      <c r="C568" s="248"/>
      <c r="D568" s="248"/>
      <c r="E568" s="248"/>
      <c r="F568" s="248"/>
      <c r="G568" s="248"/>
      <c r="H568" s="248"/>
      <c r="I568" s="248"/>
      <c r="J568" s="248"/>
      <c r="K568" s="248"/>
      <c r="L568" s="248"/>
      <c r="M568" s="248"/>
      <c r="N568" s="248"/>
      <c r="O568" s="248"/>
      <c r="P568" s="248"/>
      <c r="Q568" s="248"/>
      <c r="R568" s="248"/>
      <c r="S568" s="248"/>
      <c r="T568" s="248"/>
      <c r="U568" s="248"/>
      <c r="V568" s="248"/>
      <c r="W568" s="248"/>
      <c r="X568" s="248"/>
      <c r="Y568" s="248"/>
      <c r="Z568" s="248"/>
      <c r="AA568" s="248"/>
      <c r="AB568" s="248"/>
    </row>
    <row r="569" spans="2:28" ht="15.75">
      <c r="B569" s="248"/>
      <c r="C569" s="248"/>
      <c r="D569" s="248"/>
      <c r="E569" s="248"/>
      <c r="F569" s="248"/>
      <c r="G569" s="248"/>
      <c r="H569" s="248"/>
      <c r="I569" s="248"/>
      <c r="J569" s="248"/>
      <c r="K569" s="248"/>
      <c r="L569" s="248"/>
      <c r="M569" s="248"/>
      <c r="N569" s="248"/>
      <c r="O569" s="248"/>
      <c r="P569" s="248"/>
      <c r="Q569" s="248"/>
      <c r="R569" s="248"/>
      <c r="S569" s="248"/>
      <c r="T569" s="248"/>
      <c r="U569" s="248"/>
      <c r="V569" s="248"/>
      <c r="W569" s="248"/>
      <c r="X569" s="248"/>
      <c r="Y569" s="248"/>
      <c r="Z569" s="248"/>
      <c r="AA569" s="248"/>
      <c r="AB569" s="248"/>
    </row>
    <row r="570" spans="2:28" ht="15.75">
      <c r="B570" s="248"/>
      <c r="C570" s="248"/>
      <c r="D570" s="248"/>
      <c r="E570" s="248"/>
      <c r="F570" s="248"/>
      <c r="G570" s="248"/>
      <c r="H570" s="248"/>
      <c r="I570" s="248"/>
      <c r="J570" s="248"/>
      <c r="K570" s="248"/>
      <c r="L570" s="248"/>
      <c r="M570" s="248"/>
      <c r="N570" s="248"/>
      <c r="O570" s="248"/>
      <c r="P570" s="248"/>
      <c r="Q570" s="248"/>
      <c r="R570" s="248"/>
      <c r="S570" s="248"/>
      <c r="T570" s="248"/>
      <c r="U570" s="248"/>
      <c r="V570" s="248"/>
      <c r="W570" s="248"/>
      <c r="X570" s="248"/>
      <c r="Y570" s="248"/>
      <c r="Z570" s="248"/>
      <c r="AA570" s="248"/>
      <c r="AB570" s="248"/>
    </row>
    <row r="571" spans="2:28" ht="15.75">
      <c r="B571" s="248"/>
      <c r="C571" s="248"/>
      <c r="D571" s="248"/>
      <c r="E571" s="248"/>
      <c r="F571" s="248"/>
      <c r="G571" s="248"/>
      <c r="H571" s="248"/>
      <c r="I571" s="248"/>
      <c r="J571" s="248"/>
      <c r="K571" s="248"/>
      <c r="L571" s="248"/>
      <c r="M571" s="248"/>
      <c r="N571" s="248"/>
      <c r="O571" s="248"/>
      <c r="P571" s="248"/>
      <c r="Q571" s="248"/>
      <c r="R571" s="248"/>
      <c r="S571" s="248"/>
      <c r="T571" s="248"/>
      <c r="U571" s="248"/>
      <c r="V571" s="248"/>
      <c r="W571" s="248"/>
      <c r="X571" s="248"/>
      <c r="Y571" s="248"/>
      <c r="Z571" s="248"/>
      <c r="AA571" s="248"/>
      <c r="AB571" s="248"/>
    </row>
    <row r="572" spans="2:28" ht="15.75">
      <c r="B572" s="248"/>
      <c r="C572" s="248"/>
      <c r="D572" s="248"/>
      <c r="E572" s="248"/>
      <c r="F572" s="248"/>
      <c r="G572" s="248"/>
      <c r="H572" s="248"/>
      <c r="I572" s="248"/>
      <c r="J572" s="248"/>
      <c r="K572" s="248"/>
      <c r="L572" s="248"/>
      <c r="M572" s="248"/>
      <c r="N572" s="248"/>
      <c r="O572" s="248"/>
      <c r="P572" s="248"/>
      <c r="Q572" s="248"/>
      <c r="R572" s="248"/>
      <c r="S572" s="248"/>
      <c r="T572" s="248"/>
      <c r="U572" s="248"/>
      <c r="V572" s="248"/>
      <c r="W572" s="248"/>
      <c r="X572" s="248"/>
      <c r="Y572" s="248"/>
      <c r="Z572" s="248"/>
      <c r="AA572" s="248"/>
      <c r="AB572" s="248"/>
    </row>
    <row r="573" spans="2:28" ht="15.75">
      <c r="B573" s="248"/>
      <c r="C573" s="248"/>
      <c r="D573" s="248"/>
      <c r="E573" s="248"/>
      <c r="F573" s="248"/>
      <c r="G573" s="248"/>
      <c r="H573" s="248"/>
      <c r="I573" s="248"/>
      <c r="J573" s="248"/>
      <c r="K573" s="248"/>
      <c r="L573" s="248"/>
      <c r="M573" s="248"/>
      <c r="N573" s="248"/>
      <c r="O573" s="248"/>
      <c r="P573" s="248"/>
      <c r="Q573" s="248"/>
      <c r="R573" s="248"/>
      <c r="S573" s="248"/>
      <c r="T573" s="248"/>
      <c r="U573" s="248"/>
      <c r="V573" s="248"/>
      <c r="W573" s="248"/>
      <c r="X573" s="248"/>
      <c r="Y573" s="248"/>
      <c r="Z573" s="248"/>
      <c r="AA573" s="248"/>
      <c r="AB573" s="248"/>
    </row>
    <row r="574" spans="2:28" ht="15.75">
      <c r="B574" s="248"/>
      <c r="C574" s="248"/>
      <c r="D574" s="248"/>
      <c r="E574" s="248"/>
      <c r="F574" s="248"/>
      <c r="G574" s="248"/>
      <c r="H574" s="248"/>
      <c r="I574" s="248"/>
      <c r="J574" s="248"/>
      <c r="K574" s="248"/>
      <c r="L574" s="248"/>
      <c r="M574" s="248"/>
      <c r="N574" s="248"/>
      <c r="O574" s="248"/>
      <c r="P574" s="248"/>
      <c r="Q574" s="248"/>
      <c r="R574" s="248"/>
      <c r="S574" s="248"/>
      <c r="T574" s="248"/>
      <c r="U574" s="248"/>
      <c r="V574" s="248"/>
      <c r="W574" s="248"/>
      <c r="X574" s="248"/>
      <c r="Y574" s="248"/>
      <c r="Z574" s="248"/>
      <c r="AA574" s="248"/>
      <c r="AB574" s="248"/>
    </row>
    <row r="575" spans="2:28" ht="15.75">
      <c r="B575" s="248"/>
      <c r="C575" s="248"/>
      <c r="D575" s="248"/>
      <c r="E575" s="248"/>
      <c r="F575" s="248"/>
      <c r="G575" s="248"/>
      <c r="H575" s="248"/>
      <c r="I575" s="248"/>
      <c r="J575" s="248"/>
      <c r="K575" s="248"/>
      <c r="L575" s="248"/>
      <c r="M575" s="248"/>
      <c r="N575" s="248"/>
      <c r="O575" s="248"/>
      <c r="P575" s="248"/>
      <c r="Q575" s="248"/>
      <c r="R575" s="248"/>
      <c r="S575" s="248"/>
      <c r="T575" s="248"/>
      <c r="U575" s="248"/>
      <c r="V575" s="248"/>
      <c r="W575" s="248"/>
      <c r="X575" s="248"/>
      <c r="Y575" s="248"/>
      <c r="Z575" s="248"/>
      <c r="AA575" s="248"/>
      <c r="AB575" s="248"/>
    </row>
    <row r="576" spans="2:28" ht="15.75">
      <c r="B576" s="248"/>
      <c r="C576" s="248"/>
      <c r="D576" s="248"/>
      <c r="E576" s="248"/>
      <c r="F576" s="248"/>
      <c r="G576" s="248"/>
      <c r="H576" s="248"/>
      <c r="I576" s="248"/>
      <c r="J576" s="248"/>
      <c r="K576" s="248"/>
      <c r="L576" s="248"/>
      <c r="M576" s="248"/>
      <c r="N576" s="248"/>
      <c r="O576" s="248"/>
      <c r="P576" s="248"/>
      <c r="Q576" s="248"/>
      <c r="R576" s="248"/>
      <c r="S576" s="248"/>
      <c r="T576" s="248"/>
      <c r="U576" s="248"/>
      <c r="V576" s="248"/>
      <c r="W576" s="248"/>
      <c r="X576" s="248"/>
      <c r="Y576" s="248"/>
      <c r="Z576" s="248"/>
      <c r="AA576" s="248"/>
      <c r="AB576" s="248"/>
    </row>
    <row r="577" spans="2:28" ht="15.75">
      <c r="B577" s="248"/>
      <c r="C577" s="248"/>
      <c r="D577" s="248"/>
      <c r="E577" s="248"/>
      <c r="F577" s="248"/>
      <c r="G577" s="248"/>
      <c r="H577" s="248"/>
      <c r="I577" s="248"/>
      <c r="J577" s="248"/>
      <c r="K577" s="248"/>
      <c r="L577" s="248"/>
      <c r="M577" s="248"/>
      <c r="N577" s="248"/>
      <c r="O577" s="248"/>
      <c r="P577" s="248"/>
      <c r="Q577" s="248"/>
      <c r="R577" s="248"/>
      <c r="S577" s="248"/>
      <c r="T577" s="248"/>
      <c r="U577" s="248"/>
      <c r="V577" s="248"/>
      <c r="W577" s="248"/>
      <c r="X577" s="248"/>
      <c r="Y577" s="248"/>
      <c r="Z577" s="248"/>
      <c r="AA577" s="248"/>
      <c r="AB577" s="248"/>
    </row>
    <row r="578" spans="2:28" ht="15.75">
      <c r="B578" s="248"/>
      <c r="C578" s="248"/>
      <c r="D578" s="248"/>
      <c r="E578" s="248"/>
      <c r="F578" s="248"/>
      <c r="G578" s="248"/>
      <c r="H578" s="248"/>
      <c r="I578" s="248"/>
      <c r="J578" s="248"/>
      <c r="K578" s="248"/>
      <c r="L578" s="248"/>
      <c r="M578" s="248"/>
      <c r="N578" s="248"/>
      <c r="O578" s="248"/>
      <c r="P578" s="248"/>
      <c r="Q578" s="248"/>
      <c r="R578" s="248"/>
      <c r="S578" s="248"/>
      <c r="T578" s="248"/>
      <c r="U578" s="248"/>
      <c r="V578" s="248"/>
      <c r="W578" s="248"/>
      <c r="X578" s="248"/>
      <c r="Y578" s="248"/>
      <c r="Z578" s="248"/>
      <c r="AA578" s="248"/>
      <c r="AB578" s="248"/>
    </row>
    <row r="579" spans="2:28" ht="15.75">
      <c r="B579" s="248"/>
      <c r="C579" s="248"/>
      <c r="D579" s="248"/>
      <c r="E579" s="248"/>
      <c r="F579" s="248"/>
      <c r="G579" s="248"/>
      <c r="H579" s="248"/>
      <c r="I579" s="248"/>
      <c r="J579" s="248"/>
      <c r="K579" s="248"/>
      <c r="L579" s="248"/>
      <c r="M579" s="248"/>
      <c r="N579" s="248"/>
      <c r="O579" s="248"/>
      <c r="P579" s="248"/>
      <c r="Q579" s="248"/>
      <c r="R579" s="248"/>
      <c r="S579" s="248"/>
      <c r="T579" s="248"/>
      <c r="U579" s="248"/>
      <c r="V579" s="248"/>
      <c r="W579" s="248"/>
      <c r="X579" s="248"/>
      <c r="Y579" s="248"/>
      <c r="Z579" s="248"/>
      <c r="AA579" s="248"/>
      <c r="AB579" s="248"/>
    </row>
    <row r="580" spans="2:28" ht="15.75">
      <c r="B580" s="248"/>
      <c r="C580" s="248"/>
      <c r="D580" s="248"/>
      <c r="E580" s="248"/>
      <c r="F580" s="248"/>
      <c r="G580" s="248"/>
      <c r="H580" s="248"/>
      <c r="I580" s="248"/>
      <c r="J580" s="248"/>
      <c r="K580" s="248"/>
      <c r="L580" s="248"/>
      <c r="M580" s="248"/>
      <c r="N580" s="248"/>
      <c r="O580" s="248"/>
      <c r="P580" s="248"/>
      <c r="Q580" s="248"/>
      <c r="R580" s="248"/>
      <c r="S580" s="248"/>
      <c r="T580" s="248"/>
      <c r="U580" s="248"/>
      <c r="V580" s="248"/>
      <c r="W580" s="248"/>
      <c r="X580" s="248"/>
      <c r="Y580" s="248"/>
      <c r="Z580" s="248"/>
      <c r="AA580" s="248"/>
      <c r="AB580" s="248"/>
    </row>
    <row r="581" spans="2:28" ht="15.75">
      <c r="B581" s="248"/>
      <c r="C581" s="248"/>
      <c r="D581" s="248"/>
      <c r="E581" s="248"/>
      <c r="F581" s="248"/>
      <c r="G581" s="248"/>
      <c r="H581" s="248"/>
      <c r="I581" s="248"/>
      <c r="J581" s="248"/>
      <c r="K581" s="248"/>
      <c r="L581" s="248"/>
      <c r="M581" s="248"/>
      <c r="N581" s="248"/>
      <c r="O581" s="248"/>
      <c r="P581" s="248"/>
      <c r="Q581" s="248"/>
      <c r="R581" s="248"/>
      <c r="S581" s="248"/>
      <c r="T581" s="248"/>
      <c r="U581" s="248"/>
      <c r="V581" s="248"/>
      <c r="W581" s="248"/>
      <c r="X581" s="248"/>
      <c r="Y581" s="248"/>
      <c r="Z581" s="248"/>
      <c r="AA581" s="248"/>
      <c r="AB581" s="248"/>
    </row>
    <row r="582" spans="2:28" ht="15.75">
      <c r="B582" s="248"/>
      <c r="C582" s="248"/>
      <c r="D582" s="248"/>
      <c r="E582" s="248"/>
      <c r="F582" s="248"/>
      <c r="G582" s="248"/>
      <c r="H582" s="248"/>
      <c r="I582" s="248"/>
      <c r="J582" s="248"/>
      <c r="K582" s="248"/>
      <c r="L582" s="248"/>
      <c r="M582" s="248"/>
      <c r="N582" s="248"/>
      <c r="O582" s="248"/>
      <c r="P582" s="248"/>
      <c r="Q582" s="248"/>
      <c r="R582" s="248"/>
      <c r="S582" s="248"/>
      <c r="T582" s="248"/>
      <c r="U582" s="248"/>
      <c r="V582" s="248"/>
      <c r="W582" s="248"/>
      <c r="X582" s="248"/>
      <c r="Y582" s="248"/>
      <c r="Z582" s="248"/>
      <c r="AA582" s="248"/>
      <c r="AB582" s="248"/>
    </row>
    <row r="583" spans="2:28" ht="15.75">
      <c r="B583" s="248"/>
      <c r="C583" s="248"/>
      <c r="D583" s="248"/>
      <c r="E583" s="248"/>
      <c r="F583" s="248"/>
      <c r="G583" s="248"/>
      <c r="H583" s="248"/>
      <c r="I583" s="248"/>
      <c r="J583" s="248"/>
      <c r="K583" s="248"/>
      <c r="L583" s="248"/>
      <c r="M583" s="248"/>
      <c r="N583" s="248"/>
      <c r="O583" s="248"/>
      <c r="P583" s="248"/>
      <c r="Q583" s="248"/>
      <c r="R583" s="248"/>
      <c r="S583" s="248"/>
      <c r="T583" s="248"/>
      <c r="U583" s="248"/>
      <c r="V583" s="248"/>
      <c r="W583" s="248"/>
      <c r="X583" s="248"/>
      <c r="Y583" s="248"/>
      <c r="Z583" s="248"/>
      <c r="AA583" s="248"/>
      <c r="AB583" s="248"/>
    </row>
    <row r="584" spans="2:28" ht="15.75">
      <c r="B584" s="248"/>
      <c r="C584" s="248"/>
      <c r="D584" s="248"/>
      <c r="E584" s="248"/>
      <c r="F584" s="248"/>
      <c r="G584" s="248"/>
      <c r="H584" s="248"/>
      <c r="I584" s="248"/>
      <c r="J584" s="248"/>
      <c r="K584" s="248"/>
      <c r="L584" s="248"/>
      <c r="M584" s="248"/>
      <c r="N584" s="248"/>
      <c r="O584" s="248"/>
      <c r="P584" s="248"/>
      <c r="Q584" s="248"/>
      <c r="R584" s="248"/>
      <c r="S584" s="248"/>
      <c r="T584" s="248"/>
      <c r="U584" s="248"/>
      <c r="V584" s="248"/>
      <c r="W584" s="248"/>
      <c r="X584" s="248"/>
      <c r="Y584" s="248"/>
      <c r="Z584" s="248"/>
      <c r="AA584" s="248"/>
      <c r="AB584" s="248"/>
    </row>
    <row r="585" spans="2:28" ht="15.75">
      <c r="B585" s="248"/>
      <c r="C585" s="248"/>
      <c r="D585" s="248"/>
      <c r="E585" s="248"/>
      <c r="F585" s="248"/>
      <c r="G585" s="248"/>
      <c r="H585" s="248"/>
      <c r="I585" s="248"/>
      <c r="J585" s="248"/>
      <c r="K585" s="248"/>
      <c r="L585" s="248"/>
      <c r="M585" s="248"/>
      <c r="N585" s="248"/>
      <c r="O585" s="248"/>
      <c r="P585" s="248"/>
      <c r="Q585" s="248"/>
      <c r="R585" s="248"/>
      <c r="S585" s="248"/>
      <c r="T585" s="248"/>
      <c r="U585" s="248"/>
      <c r="V585" s="248"/>
      <c r="W585" s="248"/>
      <c r="X585" s="248"/>
      <c r="Y585" s="248"/>
      <c r="Z585" s="248"/>
      <c r="AA585" s="248"/>
      <c r="AB585" s="248"/>
    </row>
    <row r="586" spans="2:28" ht="15.75">
      <c r="B586" s="248"/>
      <c r="C586" s="248"/>
      <c r="D586" s="248"/>
      <c r="E586" s="248"/>
      <c r="F586" s="248"/>
      <c r="G586" s="248"/>
      <c r="H586" s="248"/>
      <c r="I586" s="248"/>
      <c r="J586" s="248"/>
      <c r="K586" s="248"/>
      <c r="L586" s="248"/>
      <c r="M586" s="248"/>
      <c r="N586" s="248"/>
      <c r="O586" s="248"/>
      <c r="P586" s="248"/>
      <c r="Q586" s="248"/>
      <c r="R586" s="248"/>
      <c r="S586" s="248"/>
      <c r="T586" s="248"/>
      <c r="U586" s="248"/>
      <c r="V586" s="248"/>
      <c r="W586" s="248"/>
      <c r="X586" s="248"/>
      <c r="Y586" s="248"/>
      <c r="Z586" s="248"/>
      <c r="AA586" s="248"/>
      <c r="AB586" s="248"/>
    </row>
    <row r="587" spans="2:28" ht="15.75">
      <c r="B587" s="248"/>
      <c r="C587" s="248"/>
      <c r="D587" s="248"/>
      <c r="E587" s="248"/>
      <c r="F587" s="248"/>
      <c r="G587" s="248"/>
      <c r="H587" s="248"/>
      <c r="I587" s="248"/>
      <c r="J587" s="248"/>
      <c r="K587" s="248"/>
      <c r="L587" s="248"/>
      <c r="M587" s="248"/>
      <c r="N587" s="248"/>
      <c r="O587" s="248"/>
      <c r="P587" s="248"/>
      <c r="Q587" s="248"/>
      <c r="R587" s="248"/>
      <c r="S587" s="248"/>
      <c r="T587" s="248"/>
      <c r="U587" s="248"/>
      <c r="V587" s="248"/>
      <c r="W587" s="248"/>
      <c r="X587" s="248"/>
      <c r="Y587" s="248"/>
      <c r="Z587" s="248"/>
      <c r="AA587" s="248"/>
      <c r="AB587" s="248"/>
    </row>
    <row r="588" spans="2:28" ht="15.75">
      <c r="B588" s="248"/>
      <c r="C588" s="248"/>
      <c r="D588" s="248"/>
      <c r="E588" s="248"/>
      <c r="F588" s="248"/>
      <c r="G588" s="248"/>
      <c r="H588" s="248"/>
      <c r="I588" s="248"/>
      <c r="J588" s="248"/>
      <c r="K588" s="248"/>
      <c r="L588" s="248"/>
      <c r="M588" s="248"/>
      <c r="N588" s="248"/>
      <c r="O588" s="248"/>
      <c r="P588" s="248"/>
      <c r="Q588" s="248"/>
      <c r="R588" s="248"/>
      <c r="S588" s="248"/>
      <c r="T588" s="248"/>
      <c r="U588" s="248"/>
      <c r="V588" s="248"/>
      <c r="W588" s="248"/>
      <c r="X588" s="248"/>
      <c r="Y588" s="248"/>
      <c r="Z588" s="248"/>
      <c r="AA588" s="248"/>
      <c r="AB588" s="248"/>
    </row>
    <row r="589" spans="2:28" ht="15.75">
      <c r="B589" s="248"/>
      <c r="C589" s="248"/>
      <c r="D589" s="248"/>
      <c r="E589" s="248"/>
      <c r="F589" s="248"/>
      <c r="G589" s="248"/>
      <c r="H589" s="248"/>
      <c r="I589" s="248"/>
      <c r="J589" s="248"/>
      <c r="K589" s="248"/>
      <c r="L589" s="248"/>
      <c r="M589" s="248"/>
      <c r="N589" s="248"/>
      <c r="O589" s="248"/>
      <c r="P589" s="248"/>
      <c r="Q589" s="248"/>
      <c r="R589" s="248"/>
      <c r="S589" s="248"/>
      <c r="T589" s="248"/>
      <c r="U589" s="248"/>
      <c r="V589" s="248"/>
      <c r="W589" s="248"/>
      <c r="X589" s="248"/>
      <c r="Y589" s="248"/>
      <c r="Z589" s="248"/>
      <c r="AA589" s="248"/>
      <c r="AB589" s="248"/>
    </row>
    <row r="590" spans="2:28" ht="15.75">
      <c r="B590" s="248"/>
      <c r="C590" s="248"/>
      <c r="D590" s="248"/>
      <c r="E590" s="248"/>
      <c r="F590" s="248"/>
      <c r="G590" s="248"/>
      <c r="H590" s="248"/>
      <c r="I590" s="248"/>
      <c r="J590" s="248"/>
      <c r="K590" s="248"/>
      <c r="L590" s="248"/>
      <c r="M590" s="248"/>
      <c r="N590" s="248"/>
      <c r="O590" s="248"/>
      <c r="P590" s="248"/>
      <c r="Q590" s="248"/>
      <c r="R590" s="248"/>
      <c r="S590" s="248"/>
      <c r="T590" s="248"/>
      <c r="U590" s="248"/>
      <c r="V590" s="248"/>
      <c r="W590" s="248"/>
      <c r="X590" s="248"/>
      <c r="Y590" s="248"/>
      <c r="Z590" s="248"/>
      <c r="AA590" s="248"/>
      <c r="AB590" s="248"/>
    </row>
    <row r="591" spans="2:28" ht="15.75">
      <c r="B591" s="248"/>
      <c r="C591" s="248"/>
      <c r="D591" s="248"/>
      <c r="E591" s="248"/>
      <c r="F591" s="248"/>
      <c r="G591" s="248"/>
      <c r="H591" s="248"/>
      <c r="I591" s="248"/>
      <c r="J591" s="248"/>
      <c r="K591" s="248"/>
      <c r="L591" s="248"/>
      <c r="M591" s="248"/>
      <c r="N591" s="248"/>
      <c r="O591" s="248"/>
      <c r="P591" s="248"/>
      <c r="Q591" s="248"/>
      <c r="R591" s="248"/>
      <c r="S591" s="248"/>
      <c r="T591" s="248"/>
      <c r="U591" s="248"/>
      <c r="V591" s="248"/>
      <c r="W591" s="248"/>
      <c r="X591" s="248"/>
      <c r="Y591" s="248"/>
      <c r="Z591" s="248"/>
      <c r="AA591" s="248"/>
      <c r="AB591" s="248"/>
    </row>
    <row r="592" spans="2:28" ht="15.75">
      <c r="B592" s="248"/>
      <c r="C592" s="248"/>
      <c r="D592" s="248"/>
      <c r="E592" s="248"/>
      <c r="F592" s="248"/>
      <c r="G592" s="248"/>
      <c r="H592" s="248"/>
      <c r="I592" s="248"/>
      <c r="J592" s="248"/>
      <c r="K592" s="248"/>
      <c r="L592" s="248"/>
      <c r="M592" s="248"/>
      <c r="N592" s="248"/>
      <c r="O592" s="248"/>
      <c r="P592" s="248"/>
      <c r="Q592" s="248"/>
      <c r="R592" s="248"/>
      <c r="S592" s="248"/>
      <c r="T592" s="248"/>
      <c r="U592" s="248"/>
      <c r="V592" s="248"/>
      <c r="W592" s="248"/>
      <c r="X592" s="248"/>
      <c r="Y592" s="248"/>
      <c r="Z592" s="248"/>
      <c r="AA592" s="248"/>
      <c r="AB592" s="248"/>
    </row>
    <row r="593" spans="2:28" ht="15.75">
      <c r="B593" s="248"/>
      <c r="C593" s="248"/>
      <c r="D593" s="248"/>
      <c r="E593" s="248"/>
      <c r="F593" s="248"/>
      <c r="G593" s="248"/>
      <c r="H593" s="248"/>
      <c r="I593" s="248"/>
      <c r="J593" s="248"/>
      <c r="K593" s="248"/>
      <c r="L593" s="248"/>
      <c r="M593" s="248"/>
      <c r="N593" s="248"/>
      <c r="O593" s="248"/>
      <c r="P593" s="248"/>
      <c r="Q593" s="248"/>
      <c r="R593" s="248"/>
      <c r="S593" s="248"/>
      <c r="T593" s="248"/>
      <c r="U593" s="248"/>
      <c r="V593" s="248"/>
      <c r="W593" s="248"/>
      <c r="X593" s="248"/>
      <c r="Y593" s="248"/>
      <c r="Z593" s="248"/>
      <c r="AA593" s="248"/>
      <c r="AB593" s="248"/>
    </row>
    <row r="594" spans="2:28" ht="15.75">
      <c r="B594" s="248"/>
      <c r="C594" s="248"/>
      <c r="D594" s="248"/>
      <c r="E594" s="248"/>
      <c r="F594" s="248"/>
      <c r="G594" s="248"/>
      <c r="H594" s="248"/>
      <c r="I594" s="248"/>
      <c r="J594" s="248"/>
      <c r="K594" s="248"/>
      <c r="L594" s="248"/>
      <c r="M594" s="248"/>
      <c r="N594" s="248"/>
      <c r="O594" s="248"/>
      <c r="P594" s="248"/>
      <c r="Q594" s="248"/>
      <c r="R594" s="248"/>
      <c r="S594" s="248"/>
      <c r="T594" s="248"/>
      <c r="U594" s="248"/>
      <c r="V594" s="248"/>
      <c r="W594" s="248"/>
      <c r="X594" s="248"/>
      <c r="Y594" s="248"/>
      <c r="Z594" s="248"/>
      <c r="AA594" s="248"/>
      <c r="AB594" s="248"/>
    </row>
    <row r="595" spans="2:28" ht="15.75">
      <c r="B595" s="248"/>
      <c r="C595" s="248"/>
      <c r="D595" s="248"/>
      <c r="E595" s="248"/>
      <c r="F595" s="248"/>
      <c r="G595" s="248"/>
      <c r="H595" s="248"/>
      <c r="I595" s="248"/>
      <c r="J595" s="248"/>
      <c r="K595" s="248"/>
      <c r="L595" s="248"/>
      <c r="M595" s="248"/>
      <c r="N595" s="248"/>
      <c r="O595" s="248"/>
      <c r="P595" s="248"/>
      <c r="Q595" s="248"/>
      <c r="R595" s="248"/>
      <c r="S595" s="248"/>
      <c r="T595" s="248"/>
      <c r="U595" s="248"/>
      <c r="V595" s="248"/>
      <c r="W595" s="248"/>
      <c r="X595" s="248"/>
      <c r="Y595" s="248"/>
      <c r="Z595" s="248"/>
      <c r="AA595" s="248"/>
      <c r="AB595" s="248"/>
    </row>
    <row r="596" spans="2:28" ht="15.75">
      <c r="B596" s="248"/>
      <c r="C596" s="248"/>
      <c r="D596" s="248"/>
      <c r="E596" s="248"/>
      <c r="F596" s="248"/>
      <c r="G596" s="248"/>
      <c r="H596" s="248"/>
      <c r="I596" s="248"/>
      <c r="J596" s="248"/>
      <c r="K596" s="248"/>
      <c r="L596" s="248"/>
      <c r="M596" s="248"/>
      <c r="N596" s="248"/>
      <c r="O596" s="248"/>
      <c r="P596" s="248"/>
      <c r="Q596" s="248"/>
      <c r="R596" s="248"/>
      <c r="S596" s="248"/>
      <c r="T596" s="248"/>
      <c r="U596" s="248"/>
      <c r="V596" s="248"/>
      <c r="W596" s="248"/>
      <c r="X596" s="248"/>
      <c r="Y596" s="248"/>
      <c r="Z596" s="248"/>
      <c r="AA596" s="248"/>
      <c r="AB596" s="248"/>
    </row>
    <row r="597" spans="2:28" ht="15.75">
      <c r="B597" s="248"/>
      <c r="C597" s="248"/>
      <c r="D597" s="248"/>
      <c r="E597" s="248"/>
      <c r="F597" s="248"/>
      <c r="G597" s="248"/>
      <c r="H597" s="248"/>
      <c r="I597" s="248"/>
      <c r="J597" s="248"/>
      <c r="K597" s="248"/>
      <c r="L597" s="248"/>
      <c r="M597" s="248"/>
      <c r="N597" s="248"/>
      <c r="O597" s="248"/>
      <c r="P597" s="248"/>
      <c r="Q597" s="248"/>
      <c r="R597" s="248"/>
      <c r="S597" s="248"/>
      <c r="T597" s="248"/>
      <c r="U597" s="248"/>
      <c r="V597" s="248"/>
      <c r="W597" s="248"/>
      <c r="X597" s="248"/>
      <c r="Y597" s="248"/>
      <c r="Z597" s="248"/>
      <c r="AA597" s="248"/>
      <c r="AB597" s="248"/>
    </row>
    <row r="598" spans="2:28" ht="15.75">
      <c r="B598" s="248"/>
      <c r="C598" s="248"/>
      <c r="D598" s="248"/>
      <c r="E598" s="248"/>
      <c r="F598" s="248"/>
      <c r="G598" s="248"/>
      <c r="H598" s="248"/>
      <c r="I598" s="248"/>
      <c r="J598" s="248"/>
      <c r="K598" s="248"/>
      <c r="L598" s="248"/>
      <c r="M598" s="248"/>
      <c r="N598" s="248"/>
      <c r="O598" s="248"/>
      <c r="P598" s="248"/>
      <c r="Q598" s="248"/>
      <c r="R598" s="248"/>
      <c r="S598" s="248"/>
      <c r="T598" s="248"/>
      <c r="U598" s="248"/>
      <c r="V598" s="248"/>
      <c r="W598" s="248"/>
      <c r="X598" s="248"/>
      <c r="Y598" s="248"/>
      <c r="Z598" s="248"/>
      <c r="AA598" s="248"/>
      <c r="AB598" s="248"/>
    </row>
    <row r="599" spans="2:28" ht="15.75">
      <c r="B599" s="248"/>
      <c r="C599" s="248"/>
      <c r="D599" s="248"/>
      <c r="E599" s="248"/>
      <c r="F599" s="248"/>
      <c r="G599" s="248"/>
      <c r="H599" s="248"/>
      <c r="I599" s="248"/>
      <c r="J599" s="248"/>
      <c r="K599" s="248"/>
      <c r="L599" s="248"/>
      <c r="M599" s="248"/>
      <c r="N599" s="248"/>
      <c r="O599" s="248"/>
      <c r="P599" s="248"/>
      <c r="Q599" s="248"/>
      <c r="R599" s="248"/>
      <c r="S599" s="248"/>
      <c r="T599" s="248"/>
      <c r="U599" s="248"/>
      <c r="V599" s="248"/>
      <c r="W599" s="248"/>
      <c r="X599" s="248"/>
      <c r="Y599" s="248"/>
      <c r="Z599" s="248"/>
      <c r="AA599" s="248"/>
      <c r="AB599" s="248"/>
    </row>
    <row r="600" spans="2:28" ht="15.75">
      <c r="B600" s="248"/>
      <c r="C600" s="248"/>
      <c r="D600" s="248"/>
      <c r="E600" s="248"/>
      <c r="F600" s="248"/>
      <c r="G600" s="248"/>
      <c r="H600" s="248"/>
      <c r="I600" s="248"/>
      <c r="J600" s="248"/>
      <c r="K600" s="248"/>
      <c r="L600" s="248"/>
      <c r="M600" s="248"/>
      <c r="N600" s="248"/>
      <c r="O600" s="248"/>
      <c r="P600" s="248"/>
      <c r="Q600" s="248"/>
      <c r="R600" s="248"/>
      <c r="S600" s="248"/>
      <c r="T600" s="248"/>
      <c r="U600" s="248"/>
      <c r="V600" s="248"/>
      <c r="W600" s="248"/>
      <c r="X600" s="248"/>
      <c r="Y600" s="248"/>
      <c r="Z600" s="248"/>
      <c r="AA600" s="248"/>
      <c r="AB600" s="248"/>
    </row>
    <row r="601" spans="2:28" ht="15.75">
      <c r="B601" s="248"/>
      <c r="C601" s="248"/>
      <c r="D601" s="248"/>
      <c r="E601" s="248"/>
      <c r="F601" s="248"/>
      <c r="G601" s="248"/>
      <c r="H601" s="248"/>
      <c r="I601" s="248"/>
      <c r="J601" s="248"/>
      <c r="K601" s="248"/>
      <c r="L601" s="248"/>
      <c r="M601" s="248"/>
      <c r="N601" s="248"/>
      <c r="O601" s="248"/>
      <c r="P601" s="248"/>
      <c r="Q601" s="248"/>
      <c r="R601" s="248"/>
      <c r="S601" s="248"/>
      <c r="T601" s="248"/>
      <c r="U601" s="248"/>
      <c r="V601" s="248"/>
      <c r="W601" s="248"/>
      <c r="X601" s="248"/>
      <c r="Y601" s="248"/>
      <c r="Z601" s="248"/>
      <c r="AA601" s="248"/>
      <c r="AB601" s="248"/>
    </row>
    <row r="602" spans="2:28" ht="15.75">
      <c r="B602" s="248"/>
      <c r="C602" s="248"/>
      <c r="D602" s="248"/>
      <c r="E602" s="248"/>
      <c r="F602" s="248"/>
      <c r="G602" s="248"/>
      <c r="H602" s="248"/>
      <c r="I602" s="248"/>
      <c r="J602" s="248"/>
      <c r="K602" s="248"/>
      <c r="L602" s="248"/>
      <c r="M602" s="248"/>
      <c r="N602" s="248"/>
      <c r="O602" s="248"/>
      <c r="P602" s="248"/>
      <c r="Q602" s="248"/>
      <c r="R602" s="248"/>
      <c r="S602" s="248"/>
      <c r="T602" s="248"/>
      <c r="U602" s="248"/>
      <c r="V602" s="248"/>
      <c r="W602" s="248"/>
      <c r="X602" s="248"/>
      <c r="Y602" s="248"/>
      <c r="Z602" s="248"/>
      <c r="AA602" s="248"/>
      <c r="AB602" s="248"/>
    </row>
    <row r="603" spans="2:28" ht="15.75">
      <c r="B603" s="248"/>
      <c r="C603" s="248"/>
      <c r="D603" s="248"/>
      <c r="E603" s="248"/>
      <c r="F603" s="248"/>
      <c r="G603" s="248"/>
      <c r="H603" s="248"/>
      <c r="I603" s="248"/>
      <c r="J603" s="248"/>
      <c r="K603" s="248"/>
      <c r="L603" s="248"/>
      <c r="M603" s="248"/>
      <c r="N603" s="248"/>
      <c r="O603" s="248"/>
      <c r="P603" s="248"/>
      <c r="Q603" s="248"/>
      <c r="R603" s="248"/>
      <c r="S603" s="248"/>
      <c r="T603" s="248"/>
      <c r="U603" s="248"/>
      <c r="V603" s="248"/>
      <c r="W603" s="248"/>
      <c r="X603" s="248"/>
      <c r="Y603" s="248"/>
      <c r="Z603" s="248"/>
      <c r="AA603" s="248"/>
      <c r="AB603" s="248"/>
    </row>
    <row r="604" spans="2:28" ht="15.75">
      <c r="B604" s="248"/>
      <c r="C604" s="248"/>
      <c r="D604" s="248"/>
      <c r="E604" s="248"/>
      <c r="F604" s="248"/>
      <c r="G604" s="248"/>
      <c r="H604" s="248"/>
      <c r="I604" s="248"/>
      <c r="J604" s="248"/>
      <c r="K604" s="248"/>
      <c r="L604" s="248"/>
      <c r="M604" s="248"/>
      <c r="N604" s="248"/>
      <c r="O604" s="248"/>
      <c r="P604" s="248"/>
      <c r="Q604" s="248"/>
      <c r="R604" s="248"/>
      <c r="S604" s="248"/>
      <c r="T604" s="248"/>
      <c r="U604" s="248"/>
      <c r="V604" s="248"/>
      <c r="W604" s="248"/>
      <c r="X604" s="248"/>
      <c r="Y604" s="248"/>
      <c r="Z604" s="248"/>
      <c r="AA604" s="248"/>
      <c r="AB604" s="248"/>
    </row>
    <row r="605" spans="2:28" ht="15.75">
      <c r="B605" s="248"/>
      <c r="C605" s="248"/>
      <c r="D605" s="248"/>
      <c r="E605" s="248"/>
      <c r="F605" s="248"/>
      <c r="G605" s="248"/>
      <c r="H605" s="248"/>
      <c r="I605" s="248"/>
      <c r="J605" s="248"/>
      <c r="K605" s="248"/>
      <c r="L605" s="248"/>
      <c r="M605" s="248"/>
      <c r="N605" s="248"/>
      <c r="O605" s="248"/>
      <c r="P605" s="248"/>
      <c r="Q605" s="248"/>
      <c r="R605" s="248"/>
      <c r="S605" s="248"/>
      <c r="T605" s="248"/>
      <c r="U605" s="248"/>
      <c r="V605" s="248"/>
      <c r="W605" s="248"/>
      <c r="X605" s="248"/>
      <c r="Y605" s="248"/>
      <c r="Z605" s="248"/>
      <c r="AA605" s="248"/>
      <c r="AB605" s="248"/>
    </row>
    <row r="606" spans="2:28" ht="15.75">
      <c r="B606" s="248"/>
      <c r="C606" s="248"/>
      <c r="D606" s="248"/>
      <c r="E606" s="248"/>
      <c r="F606" s="248"/>
      <c r="G606" s="248"/>
      <c r="H606" s="248"/>
      <c r="I606" s="248"/>
      <c r="J606" s="248"/>
      <c r="K606" s="248"/>
      <c r="L606" s="248"/>
      <c r="M606" s="248"/>
      <c r="N606" s="248"/>
      <c r="O606" s="248"/>
      <c r="P606" s="248"/>
      <c r="Q606" s="248"/>
      <c r="R606" s="248"/>
      <c r="S606" s="248"/>
      <c r="T606" s="248"/>
      <c r="U606" s="248"/>
      <c r="V606" s="248"/>
      <c r="W606" s="248"/>
      <c r="X606" s="248"/>
      <c r="Y606" s="248"/>
      <c r="Z606" s="248"/>
      <c r="AA606" s="248"/>
      <c r="AB606" s="248"/>
    </row>
    <row r="607" spans="2:28" ht="15.75">
      <c r="B607" s="248"/>
      <c r="C607" s="248"/>
      <c r="D607" s="248"/>
      <c r="E607" s="248"/>
      <c r="F607" s="248"/>
      <c r="G607" s="248"/>
      <c r="H607" s="248"/>
      <c r="I607" s="248"/>
      <c r="J607" s="248"/>
      <c r="K607" s="248"/>
      <c r="L607" s="248"/>
      <c r="M607" s="248"/>
      <c r="N607" s="248"/>
      <c r="O607" s="248"/>
      <c r="P607" s="248"/>
      <c r="Q607" s="248"/>
      <c r="R607" s="248"/>
      <c r="S607" s="248"/>
      <c r="T607" s="248"/>
      <c r="U607" s="248"/>
      <c r="V607" s="248"/>
      <c r="W607" s="248"/>
      <c r="X607" s="248"/>
      <c r="Y607" s="248"/>
      <c r="Z607" s="248"/>
      <c r="AA607" s="248"/>
      <c r="AB607" s="248"/>
    </row>
    <row r="608" spans="2:28" ht="15.75">
      <c r="B608" s="248"/>
      <c r="C608" s="248"/>
      <c r="D608" s="248"/>
      <c r="E608" s="248"/>
      <c r="F608" s="248"/>
      <c r="G608" s="248"/>
      <c r="H608" s="248"/>
      <c r="I608" s="248"/>
      <c r="J608" s="248"/>
      <c r="K608" s="248"/>
      <c r="L608" s="248"/>
      <c r="M608" s="248"/>
      <c r="N608" s="248"/>
      <c r="O608" s="248"/>
      <c r="P608" s="248"/>
      <c r="Q608" s="248"/>
      <c r="R608" s="248"/>
      <c r="S608" s="248"/>
      <c r="T608" s="248"/>
      <c r="U608" s="248"/>
      <c r="V608" s="248"/>
      <c r="W608" s="248"/>
      <c r="X608" s="248"/>
      <c r="Y608" s="248"/>
      <c r="Z608" s="248"/>
      <c r="AA608" s="248"/>
      <c r="AB608" s="248"/>
    </row>
    <row r="609" spans="2:28" ht="15.75">
      <c r="B609" s="248"/>
      <c r="C609" s="248"/>
      <c r="D609" s="248"/>
      <c r="E609" s="248"/>
      <c r="F609" s="248"/>
      <c r="G609" s="248"/>
      <c r="H609" s="248"/>
      <c r="I609" s="248"/>
      <c r="J609" s="248"/>
      <c r="K609" s="248"/>
      <c r="L609" s="248"/>
      <c r="M609" s="248"/>
      <c r="N609" s="248"/>
      <c r="O609" s="248"/>
      <c r="P609" s="248"/>
      <c r="Q609" s="248"/>
      <c r="R609" s="248"/>
      <c r="S609" s="248"/>
      <c r="T609" s="248"/>
      <c r="U609" s="248"/>
      <c r="V609" s="248"/>
      <c r="W609" s="248"/>
      <c r="X609" s="248"/>
      <c r="Y609" s="248"/>
      <c r="Z609" s="248"/>
      <c r="AA609" s="248"/>
      <c r="AB609" s="248"/>
    </row>
    <row r="610" spans="2:28" ht="15.75">
      <c r="B610" s="248"/>
      <c r="C610" s="248"/>
      <c r="D610" s="248"/>
      <c r="E610" s="248"/>
      <c r="F610" s="248"/>
      <c r="G610" s="248"/>
      <c r="H610" s="248"/>
      <c r="I610" s="248"/>
      <c r="J610" s="248"/>
      <c r="K610" s="248"/>
      <c r="L610" s="248"/>
      <c r="M610" s="248"/>
      <c r="N610" s="248"/>
      <c r="O610" s="248"/>
      <c r="P610" s="248"/>
      <c r="Q610" s="248"/>
      <c r="R610" s="248"/>
      <c r="S610" s="248"/>
      <c r="T610" s="248"/>
      <c r="U610" s="248"/>
      <c r="V610" s="248"/>
      <c r="W610" s="248"/>
      <c r="X610" s="248"/>
      <c r="Y610" s="248"/>
      <c r="Z610" s="248"/>
      <c r="AA610" s="248"/>
      <c r="AB610" s="248"/>
    </row>
    <row r="611" spans="2:28" ht="15.75">
      <c r="B611" s="248"/>
      <c r="C611" s="248"/>
      <c r="D611" s="248"/>
      <c r="E611" s="248"/>
      <c r="F611" s="248"/>
      <c r="G611" s="248"/>
      <c r="H611" s="248"/>
      <c r="I611" s="248"/>
      <c r="J611" s="248"/>
      <c r="K611" s="248"/>
      <c r="L611" s="248"/>
      <c r="M611" s="248"/>
      <c r="N611" s="248"/>
      <c r="O611" s="248"/>
      <c r="P611" s="248"/>
      <c r="Q611" s="248"/>
      <c r="R611" s="248"/>
      <c r="S611" s="248"/>
      <c r="T611" s="248"/>
      <c r="U611" s="248"/>
      <c r="V611" s="248"/>
      <c r="W611" s="248"/>
      <c r="X611" s="248"/>
      <c r="Y611" s="248"/>
      <c r="Z611" s="248"/>
      <c r="AA611" s="248"/>
      <c r="AB611" s="248"/>
    </row>
    <row r="612" spans="2:28" ht="15.75">
      <c r="B612" s="248"/>
      <c r="C612" s="248"/>
      <c r="D612" s="248"/>
      <c r="E612" s="248"/>
      <c r="F612" s="248"/>
      <c r="G612" s="248"/>
      <c r="H612" s="248"/>
      <c r="I612" s="248"/>
      <c r="J612" s="248"/>
      <c r="K612" s="248"/>
      <c r="L612" s="248"/>
      <c r="M612" s="248"/>
      <c r="N612" s="248"/>
      <c r="O612" s="248"/>
      <c r="P612" s="248"/>
      <c r="Q612" s="248"/>
      <c r="R612" s="248"/>
      <c r="S612" s="248"/>
      <c r="T612" s="248"/>
      <c r="U612" s="248"/>
      <c r="V612" s="248"/>
      <c r="W612" s="248"/>
      <c r="X612" s="248"/>
      <c r="Y612" s="248"/>
      <c r="Z612" s="248"/>
      <c r="AA612" s="248"/>
      <c r="AB612" s="248"/>
    </row>
    <row r="613" spans="2:28" ht="15.75">
      <c r="B613" s="248"/>
      <c r="C613" s="248"/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8"/>
      <c r="Q613" s="248"/>
      <c r="R613" s="248"/>
      <c r="S613" s="248"/>
      <c r="T613" s="248"/>
      <c r="U613" s="248"/>
      <c r="V613" s="248"/>
      <c r="W613" s="248"/>
      <c r="X613" s="248"/>
      <c r="Y613" s="248"/>
      <c r="Z613" s="248"/>
      <c r="AA613" s="248"/>
      <c r="AB613" s="248"/>
    </row>
    <row r="614" spans="2:28" ht="15.75">
      <c r="B614" s="248"/>
      <c r="C614" s="248"/>
      <c r="D614" s="248"/>
      <c r="E614" s="248"/>
      <c r="F614" s="248"/>
      <c r="G614" s="248"/>
      <c r="H614" s="248"/>
      <c r="I614" s="248"/>
      <c r="J614" s="248"/>
      <c r="K614" s="248"/>
      <c r="L614" s="248"/>
      <c r="M614" s="248"/>
      <c r="N614" s="248"/>
      <c r="O614" s="248"/>
      <c r="P614" s="248"/>
      <c r="Q614" s="248"/>
      <c r="R614" s="248"/>
      <c r="S614" s="248"/>
      <c r="T614" s="248"/>
      <c r="U614" s="248"/>
      <c r="V614" s="248"/>
      <c r="W614" s="248"/>
      <c r="X614" s="248"/>
      <c r="Y614" s="248"/>
      <c r="Z614" s="248"/>
      <c r="AA614" s="248"/>
      <c r="AB614" s="248"/>
    </row>
    <row r="615" spans="2:28" ht="15.75">
      <c r="B615" s="248"/>
      <c r="C615" s="248"/>
      <c r="D615" s="248"/>
      <c r="E615" s="248"/>
      <c r="F615" s="248"/>
      <c r="G615" s="248"/>
      <c r="H615" s="248"/>
      <c r="I615" s="248"/>
      <c r="J615" s="248"/>
      <c r="K615" s="248"/>
      <c r="L615" s="248"/>
      <c r="M615" s="248"/>
      <c r="N615" s="248"/>
      <c r="O615" s="248"/>
      <c r="P615" s="248"/>
      <c r="Q615" s="248"/>
      <c r="R615" s="248"/>
      <c r="S615" s="248"/>
      <c r="T615" s="248"/>
      <c r="U615" s="248"/>
      <c r="V615" s="248"/>
      <c r="W615" s="248"/>
      <c r="X615" s="248"/>
      <c r="Y615" s="248"/>
      <c r="Z615" s="248"/>
      <c r="AA615" s="248"/>
      <c r="AB615" s="248"/>
    </row>
    <row r="616" spans="2:28" ht="15.75">
      <c r="B616" s="248"/>
      <c r="C616" s="248"/>
      <c r="D616" s="248"/>
      <c r="E616" s="248"/>
      <c r="F616" s="248"/>
      <c r="G616" s="248"/>
      <c r="H616" s="248"/>
      <c r="I616" s="248"/>
      <c r="J616" s="248"/>
      <c r="K616" s="248"/>
      <c r="L616" s="248"/>
      <c r="M616" s="248"/>
      <c r="N616" s="248"/>
      <c r="O616" s="248"/>
      <c r="P616" s="248"/>
      <c r="Q616" s="248"/>
      <c r="R616" s="248"/>
      <c r="S616" s="248"/>
      <c r="T616" s="248"/>
      <c r="U616" s="248"/>
      <c r="V616" s="248"/>
      <c r="W616" s="248"/>
      <c r="X616" s="248"/>
      <c r="Y616" s="248"/>
      <c r="Z616" s="248"/>
      <c r="AA616" s="248"/>
      <c r="AB616" s="248"/>
    </row>
    <row r="617" spans="2:28" ht="15.75">
      <c r="B617" s="248"/>
      <c r="C617" s="248"/>
      <c r="D617" s="248"/>
      <c r="E617" s="248"/>
      <c r="F617" s="248"/>
      <c r="G617" s="248"/>
      <c r="H617" s="248"/>
      <c r="I617" s="248"/>
      <c r="J617" s="248"/>
      <c r="K617" s="248"/>
      <c r="L617" s="248"/>
      <c r="M617" s="248"/>
      <c r="N617" s="248"/>
      <c r="O617" s="248"/>
      <c r="P617" s="248"/>
      <c r="Q617" s="248"/>
      <c r="R617" s="248"/>
      <c r="S617" s="248"/>
      <c r="T617" s="248"/>
      <c r="U617" s="248"/>
      <c r="V617" s="248"/>
      <c r="W617" s="248"/>
      <c r="X617" s="248"/>
      <c r="Y617" s="248"/>
      <c r="Z617" s="248"/>
      <c r="AA617" s="248"/>
      <c r="AB617" s="248"/>
    </row>
    <row r="618" spans="2:28" ht="15.75">
      <c r="B618" s="248"/>
      <c r="C618" s="248"/>
      <c r="D618" s="248"/>
      <c r="E618" s="248"/>
      <c r="F618" s="248"/>
      <c r="G618" s="248"/>
      <c r="H618" s="248"/>
      <c r="I618" s="248"/>
      <c r="J618" s="248"/>
      <c r="K618" s="248"/>
      <c r="L618" s="248"/>
      <c r="M618" s="248"/>
      <c r="N618" s="248"/>
      <c r="O618" s="248"/>
      <c r="P618" s="248"/>
      <c r="Q618" s="248"/>
      <c r="R618" s="248"/>
      <c r="S618" s="248"/>
      <c r="T618" s="248"/>
      <c r="U618" s="248"/>
      <c r="V618" s="248"/>
      <c r="W618" s="248"/>
      <c r="X618" s="248"/>
      <c r="Y618" s="248"/>
      <c r="Z618" s="248"/>
      <c r="AA618" s="248"/>
      <c r="AB618" s="248"/>
    </row>
    <row r="619" spans="2:28" ht="15.75">
      <c r="B619" s="248"/>
      <c r="C619" s="248"/>
      <c r="D619" s="248"/>
      <c r="E619" s="248"/>
      <c r="F619" s="248"/>
      <c r="G619" s="248"/>
      <c r="H619" s="248"/>
      <c r="I619" s="248"/>
      <c r="J619" s="248"/>
      <c r="K619" s="248"/>
      <c r="L619" s="248"/>
      <c r="M619" s="248"/>
      <c r="N619" s="248"/>
      <c r="O619" s="248"/>
      <c r="P619" s="248"/>
      <c r="Q619" s="248"/>
      <c r="R619" s="248"/>
      <c r="S619" s="248"/>
      <c r="T619" s="248"/>
      <c r="U619" s="248"/>
      <c r="V619" s="248"/>
      <c r="W619" s="248"/>
      <c r="X619" s="248"/>
      <c r="Y619" s="248"/>
      <c r="Z619" s="248"/>
      <c r="AA619" s="248"/>
      <c r="AB619" s="248"/>
    </row>
    <row r="620" spans="2:28" ht="15.75">
      <c r="B620" s="248"/>
      <c r="C620" s="248"/>
      <c r="D620" s="248"/>
      <c r="E620" s="248"/>
      <c r="F620" s="248"/>
      <c r="G620" s="248"/>
      <c r="H620" s="248"/>
      <c r="I620" s="248"/>
      <c r="J620" s="248"/>
      <c r="K620" s="248"/>
      <c r="L620" s="248"/>
      <c r="M620" s="248"/>
      <c r="N620" s="248"/>
      <c r="O620" s="248"/>
      <c r="P620" s="248"/>
      <c r="Q620" s="248"/>
      <c r="R620" s="248"/>
      <c r="S620" s="248"/>
      <c r="T620" s="248"/>
      <c r="U620" s="248"/>
      <c r="V620" s="248"/>
      <c r="W620" s="248"/>
      <c r="X620" s="248"/>
      <c r="Y620" s="248"/>
      <c r="Z620" s="248"/>
      <c r="AA620" s="248"/>
      <c r="AB620" s="248"/>
    </row>
    <row r="621" spans="2:28" ht="15.75">
      <c r="B621" s="248"/>
      <c r="C621" s="248"/>
      <c r="D621" s="248"/>
      <c r="E621" s="248"/>
      <c r="F621" s="248"/>
      <c r="G621" s="248"/>
      <c r="H621" s="248"/>
      <c r="I621" s="248"/>
      <c r="J621" s="248"/>
      <c r="K621" s="248"/>
      <c r="L621" s="248"/>
      <c r="M621" s="248"/>
      <c r="N621" s="248"/>
      <c r="O621" s="248"/>
      <c r="P621" s="248"/>
      <c r="Q621" s="248"/>
      <c r="R621" s="248"/>
      <c r="S621" s="248"/>
      <c r="T621" s="248"/>
      <c r="U621" s="248"/>
      <c r="V621" s="248"/>
      <c r="W621" s="248"/>
      <c r="X621" s="248"/>
      <c r="Y621" s="248"/>
      <c r="Z621" s="248"/>
      <c r="AA621" s="248"/>
      <c r="AB621" s="248"/>
    </row>
    <row r="622" spans="2:28" ht="15.75">
      <c r="B622" s="248"/>
      <c r="C622" s="248"/>
      <c r="D622" s="248"/>
      <c r="E622" s="248"/>
      <c r="F622" s="248"/>
      <c r="G622" s="248"/>
      <c r="H622" s="248"/>
      <c r="I622" s="248"/>
      <c r="J622" s="248"/>
      <c r="K622" s="248"/>
      <c r="L622" s="248"/>
      <c r="M622" s="248"/>
      <c r="N622" s="248"/>
      <c r="O622" s="248"/>
      <c r="P622" s="248"/>
      <c r="Q622" s="248"/>
      <c r="R622" s="248"/>
      <c r="S622" s="248"/>
      <c r="T622" s="248"/>
      <c r="U622" s="248"/>
      <c r="V622" s="248"/>
      <c r="W622" s="248"/>
      <c r="X622" s="248"/>
      <c r="Y622" s="248"/>
      <c r="Z622" s="248"/>
      <c r="AA622" s="248"/>
      <c r="AB622" s="248"/>
    </row>
    <row r="623" spans="2:28" ht="15.75">
      <c r="B623" s="248"/>
      <c r="C623" s="248"/>
      <c r="D623" s="248"/>
      <c r="E623" s="248"/>
      <c r="F623" s="248"/>
      <c r="G623" s="248"/>
      <c r="H623" s="248"/>
      <c r="I623" s="248"/>
      <c r="J623" s="248"/>
      <c r="K623" s="248"/>
      <c r="L623" s="248"/>
      <c r="M623" s="248"/>
      <c r="N623" s="248"/>
      <c r="O623" s="248"/>
      <c r="P623" s="248"/>
      <c r="Q623" s="248"/>
      <c r="R623" s="248"/>
      <c r="S623" s="248"/>
      <c r="T623" s="248"/>
      <c r="U623" s="248"/>
      <c r="V623" s="248"/>
      <c r="W623" s="248"/>
      <c r="X623" s="248"/>
      <c r="Y623" s="248"/>
      <c r="Z623" s="248"/>
      <c r="AA623" s="248"/>
      <c r="AB623" s="248"/>
    </row>
    <row r="624" spans="2:28" ht="15.75">
      <c r="B624" s="248"/>
      <c r="C624" s="248"/>
      <c r="D624" s="248"/>
      <c r="E624" s="248"/>
      <c r="F624" s="248"/>
      <c r="G624" s="248"/>
      <c r="H624" s="248"/>
      <c r="I624" s="248"/>
      <c r="J624" s="248"/>
      <c r="K624" s="248"/>
      <c r="L624" s="248"/>
      <c r="M624" s="248"/>
      <c r="N624" s="248"/>
      <c r="O624" s="248"/>
      <c r="P624" s="248"/>
      <c r="Q624" s="248"/>
      <c r="R624" s="248"/>
      <c r="S624" s="248"/>
      <c r="T624" s="248"/>
      <c r="U624" s="248"/>
      <c r="V624" s="248"/>
      <c r="W624" s="248"/>
      <c r="X624" s="248"/>
      <c r="Y624" s="248"/>
      <c r="Z624" s="248"/>
      <c r="AA624" s="248"/>
      <c r="AB624" s="248"/>
    </row>
    <row r="625" spans="2:28" ht="15.75">
      <c r="B625" s="248"/>
      <c r="C625" s="248"/>
      <c r="D625" s="248"/>
      <c r="E625" s="248"/>
      <c r="F625" s="248"/>
      <c r="G625" s="248"/>
      <c r="H625" s="248"/>
      <c r="I625" s="248"/>
      <c r="J625" s="248"/>
      <c r="K625" s="248"/>
      <c r="L625" s="248"/>
      <c r="M625" s="248"/>
      <c r="N625" s="248"/>
      <c r="O625" s="248"/>
      <c r="P625" s="248"/>
      <c r="Q625" s="248"/>
      <c r="R625" s="248"/>
      <c r="S625" s="248"/>
      <c r="T625" s="248"/>
      <c r="U625" s="248"/>
      <c r="V625" s="248"/>
      <c r="W625" s="248"/>
      <c r="X625" s="248"/>
      <c r="Y625" s="248"/>
      <c r="Z625" s="248"/>
      <c r="AA625" s="248"/>
      <c r="AB625" s="248"/>
    </row>
    <row r="626" spans="2:28" ht="15.75">
      <c r="B626" s="248"/>
      <c r="C626" s="248"/>
      <c r="D626" s="248"/>
      <c r="E626" s="248"/>
      <c r="F626" s="248"/>
      <c r="G626" s="248"/>
      <c r="H626" s="248"/>
      <c r="I626" s="248"/>
      <c r="J626" s="248"/>
      <c r="K626" s="248"/>
      <c r="L626" s="248"/>
      <c r="M626" s="248"/>
      <c r="N626" s="248"/>
      <c r="O626" s="248"/>
      <c r="P626" s="248"/>
      <c r="Q626" s="248"/>
      <c r="R626" s="248"/>
      <c r="S626" s="248"/>
      <c r="T626" s="248"/>
      <c r="U626" s="248"/>
      <c r="V626" s="248"/>
      <c r="W626" s="248"/>
      <c r="X626" s="248"/>
      <c r="Y626" s="248"/>
      <c r="Z626" s="248"/>
      <c r="AA626" s="248"/>
      <c r="AB626" s="248"/>
    </row>
    <row r="627" spans="2:28" ht="15.75">
      <c r="B627" s="248"/>
      <c r="C627" s="248"/>
      <c r="D627" s="248"/>
      <c r="E627" s="248"/>
      <c r="F627" s="248"/>
      <c r="G627" s="248"/>
      <c r="H627" s="248"/>
      <c r="I627" s="248"/>
      <c r="J627" s="248"/>
      <c r="K627" s="248"/>
      <c r="L627" s="248"/>
      <c r="M627" s="248"/>
      <c r="N627" s="248"/>
      <c r="O627" s="248"/>
      <c r="P627" s="248"/>
      <c r="Q627" s="248"/>
      <c r="R627" s="248"/>
      <c r="S627" s="248"/>
      <c r="T627" s="248"/>
      <c r="U627" s="248"/>
      <c r="V627" s="248"/>
      <c r="W627" s="248"/>
      <c r="X627" s="248"/>
      <c r="Y627" s="248"/>
      <c r="Z627" s="248"/>
      <c r="AA627" s="248"/>
      <c r="AB627" s="248"/>
    </row>
    <row r="628" spans="2:28" ht="15.75">
      <c r="B628" s="248"/>
      <c r="C628" s="248"/>
      <c r="D628" s="248"/>
      <c r="E628" s="248"/>
      <c r="F628" s="248"/>
      <c r="G628" s="248"/>
      <c r="H628" s="248"/>
      <c r="I628" s="248"/>
      <c r="J628" s="248"/>
      <c r="K628" s="248"/>
      <c r="L628" s="248"/>
      <c r="M628" s="248"/>
      <c r="N628" s="248"/>
      <c r="O628" s="248"/>
      <c r="P628" s="248"/>
      <c r="Q628" s="248"/>
      <c r="R628" s="248"/>
      <c r="S628" s="248"/>
      <c r="T628" s="248"/>
      <c r="U628" s="248"/>
      <c r="V628" s="248"/>
      <c r="W628" s="248"/>
      <c r="X628" s="248"/>
      <c r="Y628" s="248"/>
      <c r="Z628" s="248"/>
      <c r="AA628" s="248"/>
      <c r="AB628" s="248"/>
    </row>
    <row r="629" spans="2:28" ht="15.75">
      <c r="B629" s="248"/>
      <c r="C629" s="248"/>
      <c r="D629" s="248"/>
      <c r="E629" s="248"/>
      <c r="F629" s="248"/>
      <c r="G629" s="248"/>
      <c r="H629" s="248"/>
      <c r="I629" s="248"/>
      <c r="J629" s="248"/>
      <c r="K629" s="248"/>
      <c r="L629" s="248"/>
      <c r="M629" s="248"/>
      <c r="N629" s="248"/>
      <c r="O629" s="248"/>
      <c r="P629" s="248"/>
      <c r="Q629" s="248"/>
      <c r="R629" s="248"/>
      <c r="S629" s="248"/>
      <c r="T629" s="248"/>
      <c r="U629" s="248"/>
      <c r="V629" s="248"/>
      <c r="W629" s="248"/>
      <c r="X629" s="248"/>
      <c r="Y629" s="248"/>
      <c r="Z629" s="248"/>
      <c r="AA629" s="248"/>
      <c r="AB629" s="248"/>
    </row>
    <row r="630" spans="2:28" ht="15.75">
      <c r="B630" s="248"/>
      <c r="C630" s="248"/>
      <c r="D630" s="248"/>
      <c r="E630" s="248"/>
      <c r="F630" s="248"/>
      <c r="G630" s="248"/>
      <c r="H630" s="248"/>
      <c r="I630" s="248"/>
      <c r="J630" s="248"/>
      <c r="K630" s="248"/>
      <c r="L630" s="248"/>
      <c r="M630" s="248"/>
      <c r="N630" s="248"/>
      <c r="O630" s="248"/>
      <c r="P630" s="248"/>
      <c r="Q630" s="248"/>
      <c r="R630" s="248"/>
      <c r="S630" s="248"/>
      <c r="T630" s="248"/>
      <c r="U630" s="248"/>
      <c r="V630" s="248"/>
      <c r="W630" s="248"/>
      <c r="X630" s="248"/>
      <c r="Y630" s="248"/>
      <c r="Z630" s="248"/>
      <c r="AA630" s="248"/>
      <c r="AB630" s="248"/>
    </row>
    <row r="631" spans="2:28" ht="15.75">
      <c r="B631" s="248"/>
      <c r="C631" s="248"/>
      <c r="D631" s="248"/>
      <c r="E631" s="248"/>
      <c r="F631" s="248"/>
      <c r="G631" s="248"/>
      <c r="H631" s="248"/>
      <c r="I631" s="248"/>
      <c r="J631" s="248"/>
      <c r="K631" s="248"/>
      <c r="L631" s="248"/>
      <c r="M631" s="248"/>
      <c r="N631" s="248"/>
      <c r="O631" s="248"/>
      <c r="P631" s="248"/>
      <c r="Q631" s="248"/>
      <c r="R631" s="248"/>
      <c r="S631" s="248"/>
      <c r="T631" s="248"/>
      <c r="U631" s="248"/>
      <c r="V631" s="248"/>
      <c r="W631" s="248"/>
      <c r="X631" s="248"/>
      <c r="Y631" s="248"/>
      <c r="Z631" s="248"/>
      <c r="AA631" s="248"/>
      <c r="AB631" s="248"/>
    </row>
    <row r="632" spans="2:28" ht="15.75">
      <c r="B632" s="248"/>
      <c r="C632" s="248"/>
      <c r="D632" s="248"/>
      <c r="E632" s="248"/>
      <c r="F632" s="248"/>
      <c r="G632" s="248"/>
      <c r="H632" s="248"/>
      <c r="I632" s="248"/>
      <c r="J632" s="248"/>
      <c r="K632" s="248"/>
      <c r="L632" s="248"/>
      <c r="M632" s="248"/>
      <c r="N632" s="248"/>
      <c r="O632" s="248"/>
      <c r="P632" s="248"/>
      <c r="Q632" s="248"/>
      <c r="R632" s="248"/>
      <c r="S632" s="248"/>
      <c r="T632" s="248"/>
      <c r="U632" s="248"/>
      <c r="V632" s="248"/>
      <c r="W632" s="248"/>
      <c r="X632" s="248"/>
      <c r="Y632" s="248"/>
      <c r="Z632" s="248"/>
      <c r="AA632" s="248"/>
      <c r="AB632" s="248"/>
    </row>
    <row r="633" spans="2:28" ht="15.75">
      <c r="B633" s="248"/>
      <c r="C633" s="248"/>
      <c r="D633" s="248"/>
      <c r="E633" s="248"/>
      <c r="F633" s="248"/>
      <c r="G633" s="248"/>
      <c r="H633" s="248"/>
      <c r="I633" s="248"/>
      <c r="J633" s="248"/>
      <c r="K633" s="248"/>
      <c r="L633" s="248"/>
      <c r="M633" s="248"/>
      <c r="N633" s="248"/>
      <c r="O633" s="248"/>
      <c r="P633" s="248"/>
      <c r="Q633" s="248"/>
      <c r="R633" s="248"/>
      <c r="S633" s="248"/>
      <c r="T633" s="248"/>
      <c r="U633" s="248"/>
      <c r="V633" s="248"/>
      <c r="W633" s="248"/>
      <c r="X633" s="248"/>
      <c r="Y633" s="248"/>
      <c r="Z633" s="248"/>
      <c r="AA633" s="248"/>
      <c r="AB633" s="248"/>
    </row>
    <row r="634" spans="2:28" ht="15.75">
      <c r="B634" s="248"/>
      <c r="C634" s="248"/>
      <c r="D634" s="248"/>
      <c r="E634" s="248"/>
      <c r="F634" s="248"/>
      <c r="G634" s="248"/>
      <c r="H634" s="248"/>
      <c r="I634" s="248"/>
      <c r="J634" s="248"/>
      <c r="K634" s="248"/>
      <c r="L634" s="248"/>
      <c r="M634" s="248"/>
      <c r="N634" s="248"/>
      <c r="O634" s="248"/>
      <c r="P634" s="248"/>
      <c r="Q634" s="248"/>
      <c r="R634" s="248"/>
      <c r="S634" s="248"/>
      <c r="T634" s="248"/>
      <c r="U634" s="248"/>
      <c r="V634" s="248"/>
      <c r="W634" s="248"/>
      <c r="X634" s="248"/>
      <c r="Y634" s="248"/>
      <c r="Z634" s="248"/>
      <c r="AA634" s="248"/>
      <c r="AB634" s="248"/>
    </row>
    <row r="635" spans="2:28" ht="15.75">
      <c r="B635" s="248"/>
      <c r="C635" s="248"/>
      <c r="D635" s="248"/>
      <c r="E635" s="248"/>
      <c r="F635" s="248"/>
      <c r="G635" s="248"/>
      <c r="H635" s="248"/>
      <c r="I635" s="248"/>
      <c r="J635" s="248"/>
      <c r="K635" s="248"/>
      <c r="L635" s="248"/>
      <c r="M635" s="248"/>
      <c r="N635" s="248"/>
      <c r="O635" s="248"/>
      <c r="P635" s="248"/>
      <c r="Q635" s="248"/>
      <c r="R635" s="248"/>
      <c r="S635" s="248"/>
      <c r="T635" s="248"/>
      <c r="U635" s="248"/>
      <c r="V635" s="248"/>
      <c r="W635" s="248"/>
      <c r="X635" s="248"/>
      <c r="Y635" s="248"/>
      <c r="Z635" s="248"/>
      <c r="AA635" s="248"/>
      <c r="AB635" s="248"/>
    </row>
    <row r="636" spans="2:28" ht="15.75">
      <c r="B636" s="248"/>
      <c r="C636" s="248"/>
      <c r="D636" s="248"/>
      <c r="E636" s="248"/>
      <c r="F636" s="248"/>
      <c r="G636" s="248"/>
      <c r="H636" s="248"/>
      <c r="I636" s="248"/>
      <c r="J636" s="248"/>
      <c r="K636" s="248"/>
      <c r="L636" s="248"/>
      <c r="M636" s="248"/>
      <c r="N636" s="248"/>
      <c r="O636" s="248"/>
      <c r="P636" s="248"/>
      <c r="Q636" s="248"/>
      <c r="R636" s="248"/>
      <c r="S636" s="248"/>
      <c r="T636" s="248"/>
      <c r="U636" s="248"/>
      <c r="V636" s="248"/>
      <c r="W636" s="248"/>
      <c r="X636" s="248"/>
      <c r="Y636" s="248"/>
      <c r="Z636" s="248"/>
      <c r="AA636" s="248"/>
      <c r="AB636" s="248"/>
    </row>
    <row r="637" spans="2:28" ht="15.75">
      <c r="B637" s="248"/>
      <c r="C637" s="248"/>
      <c r="D637" s="248"/>
      <c r="E637" s="248"/>
      <c r="F637" s="248"/>
      <c r="G637" s="248"/>
      <c r="H637" s="248"/>
      <c r="I637" s="248"/>
      <c r="J637" s="248"/>
      <c r="K637" s="248"/>
      <c r="L637" s="248"/>
      <c r="M637" s="248"/>
      <c r="N637" s="248"/>
      <c r="O637" s="248"/>
      <c r="P637" s="248"/>
      <c r="Q637" s="248"/>
      <c r="R637" s="248"/>
      <c r="S637" s="248"/>
      <c r="T637" s="248"/>
      <c r="U637" s="248"/>
      <c r="V637" s="248"/>
      <c r="W637" s="248"/>
      <c r="X637" s="248"/>
      <c r="Y637" s="248"/>
      <c r="Z637" s="248"/>
      <c r="AA637" s="248"/>
      <c r="AB637" s="248"/>
    </row>
    <row r="638" spans="2:28" ht="15.75">
      <c r="B638" s="248"/>
      <c r="C638" s="248"/>
      <c r="D638" s="248"/>
      <c r="E638" s="248"/>
      <c r="F638" s="248"/>
      <c r="G638" s="248"/>
      <c r="H638" s="248"/>
      <c r="I638" s="248"/>
      <c r="J638" s="248"/>
      <c r="K638" s="248"/>
      <c r="L638" s="248"/>
      <c r="M638" s="248"/>
      <c r="N638" s="248"/>
      <c r="O638" s="248"/>
      <c r="P638" s="248"/>
      <c r="Q638" s="248"/>
      <c r="R638" s="248"/>
      <c r="S638" s="248"/>
      <c r="T638" s="248"/>
      <c r="U638" s="248"/>
      <c r="V638" s="248"/>
      <c r="W638" s="248"/>
      <c r="X638" s="248"/>
      <c r="Y638" s="248"/>
      <c r="Z638" s="248"/>
      <c r="AA638" s="248"/>
      <c r="AB638" s="248"/>
    </row>
    <row r="639" spans="2:28" ht="15.75">
      <c r="B639" s="248"/>
      <c r="C639" s="248"/>
      <c r="D639" s="248"/>
      <c r="E639" s="248"/>
      <c r="F639" s="248"/>
      <c r="G639" s="248"/>
      <c r="H639" s="248"/>
      <c r="I639" s="248"/>
      <c r="J639" s="248"/>
      <c r="K639" s="248"/>
      <c r="L639" s="248"/>
      <c r="M639" s="248"/>
      <c r="N639" s="248"/>
      <c r="O639" s="248"/>
      <c r="P639" s="248"/>
      <c r="Q639" s="248"/>
      <c r="R639" s="248"/>
      <c r="S639" s="248"/>
      <c r="T639" s="248"/>
      <c r="U639" s="248"/>
      <c r="V639" s="248"/>
      <c r="W639" s="248"/>
      <c r="X639" s="248"/>
      <c r="Y639" s="248"/>
      <c r="Z639" s="248"/>
      <c r="AA639" s="248"/>
      <c r="AB639" s="248"/>
    </row>
    <row r="640" spans="2:28" ht="15.75">
      <c r="B640" s="248"/>
      <c r="C640" s="248"/>
      <c r="D640" s="248"/>
      <c r="E640" s="248"/>
      <c r="F640" s="248"/>
      <c r="G640" s="248"/>
      <c r="H640" s="248"/>
      <c r="I640" s="248"/>
      <c r="J640" s="248"/>
      <c r="K640" s="248"/>
      <c r="L640" s="248"/>
      <c r="M640" s="248"/>
      <c r="N640" s="248"/>
      <c r="O640" s="248"/>
      <c r="P640" s="248"/>
      <c r="Q640" s="248"/>
      <c r="R640" s="248"/>
      <c r="S640" s="248"/>
      <c r="T640" s="248"/>
      <c r="U640" s="248"/>
      <c r="V640" s="248"/>
      <c r="W640" s="248"/>
      <c r="X640" s="248"/>
      <c r="Y640" s="248"/>
      <c r="Z640" s="248"/>
      <c r="AA640" s="248"/>
      <c r="AB640" s="248"/>
    </row>
    <row r="641" spans="2:28" ht="15.75">
      <c r="B641" s="248"/>
      <c r="C641" s="248"/>
      <c r="D641" s="248"/>
      <c r="E641" s="248"/>
      <c r="F641" s="248"/>
      <c r="G641" s="248"/>
      <c r="H641" s="248"/>
      <c r="I641" s="248"/>
      <c r="J641" s="248"/>
      <c r="K641" s="248"/>
      <c r="L641" s="248"/>
      <c r="M641" s="248"/>
      <c r="N641" s="248"/>
      <c r="O641" s="248"/>
      <c r="P641" s="248"/>
      <c r="Q641" s="248"/>
      <c r="R641" s="248"/>
      <c r="S641" s="248"/>
      <c r="T641" s="248"/>
      <c r="U641" s="248"/>
      <c r="V641" s="248"/>
      <c r="W641" s="248"/>
      <c r="X641" s="248"/>
      <c r="Y641" s="248"/>
      <c r="Z641" s="248"/>
      <c r="AA641" s="248"/>
      <c r="AB641" s="248"/>
    </row>
    <row r="642" spans="2:28" ht="15.75">
      <c r="B642" s="248"/>
      <c r="C642" s="248"/>
      <c r="D642" s="248"/>
      <c r="E642" s="248"/>
      <c r="F642" s="248"/>
      <c r="G642" s="248"/>
      <c r="H642" s="248"/>
      <c r="I642" s="248"/>
      <c r="J642" s="248"/>
      <c r="K642" s="248"/>
      <c r="L642" s="248"/>
      <c r="M642" s="248"/>
      <c r="N642" s="248"/>
      <c r="O642" s="248"/>
      <c r="P642" s="248"/>
      <c r="Q642" s="248"/>
      <c r="R642" s="248"/>
      <c r="S642" s="248"/>
      <c r="T642" s="248"/>
      <c r="U642" s="248"/>
      <c r="V642" s="248"/>
      <c r="W642" s="248"/>
      <c r="X642" s="248"/>
      <c r="Y642" s="248"/>
      <c r="Z642" s="248"/>
      <c r="AA642" s="248"/>
      <c r="AB642" s="248"/>
    </row>
    <row r="643" spans="2:28" ht="15.75">
      <c r="B643" s="248"/>
      <c r="C643" s="248"/>
      <c r="D643" s="248"/>
      <c r="E643" s="248"/>
      <c r="F643" s="248"/>
      <c r="G643" s="248"/>
      <c r="H643" s="248"/>
      <c r="I643" s="248"/>
      <c r="J643" s="248"/>
      <c r="K643" s="248"/>
      <c r="L643" s="248"/>
      <c r="M643" s="248"/>
      <c r="N643" s="248"/>
      <c r="O643" s="248"/>
      <c r="P643" s="248"/>
      <c r="Q643" s="248"/>
      <c r="R643" s="248"/>
      <c r="S643" s="248"/>
      <c r="T643" s="248"/>
      <c r="U643" s="248"/>
      <c r="V643" s="248"/>
      <c r="W643" s="248"/>
      <c r="X643" s="248"/>
      <c r="Y643" s="248"/>
      <c r="Z643" s="248"/>
      <c r="AA643" s="248"/>
      <c r="AB643" s="248"/>
    </row>
    <row r="644" spans="2:28" ht="15.75">
      <c r="B644" s="248"/>
      <c r="C644" s="248"/>
      <c r="D644" s="248"/>
      <c r="E644" s="248"/>
      <c r="F644" s="248"/>
      <c r="G644" s="248"/>
      <c r="H644" s="248"/>
      <c r="I644" s="248"/>
      <c r="J644" s="248"/>
      <c r="K644" s="248"/>
      <c r="L644" s="248"/>
      <c r="M644" s="248"/>
      <c r="N644" s="248"/>
      <c r="O644" s="248"/>
      <c r="P644" s="248"/>
      <c r="Q644" s="248"/>
      <c r="R644" s="248"/>
      <c r="S644" s="248"/>
      <c r="T644" s="248"/>
      <c r="U644" s="248"/>
      <c r="V644" s="248"/>
      <c r="W644" s="248"/>
      <c r="X644" s="248"/>
      <c r="Y644" s="248"/>
      <c r="Z644" s="248"/>
      <c r="AA644" s="248"/>
      <c r="AB644" s="248"/>
    </row>
    <row r="645" spans="2:28" ht="15.75">
      <c r="B645" s="248"/>
      <c r="C645" s="248"/>
      <c r="D645" s="248"/>
      <c r="E645" s="248"/>
      <c r="F645" s="248"/>
      <c r="G645" s="248"/>
      <c r="H645" s="248"/>
      <c r="I645" s="248"/>
      <c r="J645" s="248"/>
      <c r="K645" s="248"/>
      <c r="L645" s="248"/>
      <c r="M645" s="248"/>
      <c r="N645" s="248"/>
      <c r="O645" s="248"/>
      <c r="P645" s="248"/>
      <c r="Q645" s="248"/>
      <c r="R645" s="248"/>
      <c r="S645" s="248"/>
      <c r="T645" s="248"/>
      <c r="U645" s="248"/>
      <c r="V645" s="248"/>
      <c r="W645" s="248"/>
      <c r="X645" s="248"/>
      <c r="Y645" s="248"/>
      <c r="Z645" s="248"/>
      <c r="AA645" s="248"/>
      <c r="AB645" s="248"/>
    </row>
    <row r="646" spans="2:28" ht="15.75">
      <c r="B646" s="248"/>
      <c r="C646" s="248"/>
      <c r="D646" s="248"/>
      <c r="E646" s="248"/>
      <c r="F646" s="248"/>
      <c r="G646" s="248"/>
      <c r="H646" s="248"/>
      <c r="I646" s="248"/>
      <c r="J646" s="248"/>
      <c r="K646" s="248"/>
      <c r="L646" s="248"/>
      <c r="M646" s="248"/>
      <c r="N646" s="248"/>
      <c r="O646" s="248"/>
      <c r="P646" s="248"/>
      <c r="Q646" s="248"/>
      <c r="R646" s="248"/>
      <c r="S646" s="248"/>
      <c r="T646" s="248"/>
      <c r="U646" s="248"/>
      <c r="V646" s="248"/>
      <c r="W646" s="248"/>
      <c r="X646" s="248"/>
      <c r="Y646" s="248"/>
      <c r="Z646" s="248"/>
      <c r="AA646" s="248"/>
      <c r="AB646" s="248"/>
    </row>
    <row r="647" spans="2:28" ht="15.75">
      <c r="B647" s="248"/>
      <c r="C647" s="248"/>
      <c r="D647" s="248"/>
      <c r="E647" s="248"/>
      <c r="F647" s="248"/>
      <c r="G647" s="248"/>
      <c r="H647" s="248"/>
      <c r="I647" s="248"/>
      <c r="J647" s="248"/>
      <c r="K647" s="248"/>
      <c r="L647" s="248"/>
      <c r="M647" s="248"/>
      <c r="N647" s="248"/>
      <c r="O647" s="248"/>
      <c r="P647" s="248"/>
      <c r="Q647" s="248"/>
      <c r="R647" s="248"/>
      <c r="S647" s="248"/>
      <c r="T647" s="248"/>
      <c r="U647" s="248"/>
      <c r="V647" s="248"/>
      <c r="W647" s="248"/>
      <c r="X647" s="248"/>
      <c r="Y647" s="248"/>
      <c r="Z647" s="248"/>
      <c r="AA647" s="248"/>
      <c r="AB647" s="248"/>
    </row>
    <row r="648" spans="2:28" ht="15.75">
      <c r="B648" s="248"/>
      <c r="C648" s="248"/>
      <c r="D648" s="248"/>
      <c r="E648" s="248"/>
      <c r="F648" s="248"/>
      <c r="G648" s="248"/>
      <c r="H648" s="248"/>
      <c r="I648" s="248"/>
      <c r="J648" s="248"/>
      <c r="K648" s="248"/>
      <c r="L648" s="248"/>
      <c r="M648" s="248"/>
      <c r="N648" s="248"/>
      <c r="O648" s="248"/>
      <c r="P648" s="248"/>
      <c r="Q648" s="248"/>
      <c r="R648" s="248"/>
      <c r="S648" s="248"/>
      <c r="T648" s="248"/>
      <c r="U648" s="248"/>
      <c r="V648" s="248"/>
      <c r="W648" s="248"/>
      <c r="X648" s="248"/>
      <c r="Y648" s="248"/>
      <c r="Z648" s="248"/>
      <c r="AA648" s="248"/>
      <c r="AB648" s="248"/>
    </row>
    <row r="649" spans="2:28" ht="15.75">
      <c r="B649" s="248"/>
      <c r="C649" s="248"/>
      <c r="D649" s="248"/>
      <c r="E649" s="248"/>
      <c r="F649" s="248"/>
      <c r="G649" s="248"/>
      <c r="H649" s="248"/>
      <c r="I649" s="248"/>
      <c r="J649" s="248"/>
      <c r="K649" s="248"/>
      <c r="L649" s="248"/>
      <c r="M649" s="248"/>
      <c r="N649" s="248"/>
      <c r="O649" s="248"/>
      <c r="P649" s="248"/>
      <c r="Q649" s="248"/>
      <c r="R649" s="248"/>
      <c r="S649" s="248"/>
      <c r="T649" s="248"/>
      <c r="U649" s="248"/>
      <c r="V649" s="248"/>
      <c r="W649" s="248"/>
      <c r="X649" s="248"/>
      <c r="Y649" s="248"/>
      <c r="Z649" s="248"/>
      <c r="AA649" s="248"/>
      <c r="AB649" s="248"/>
    </row>
    <row r="650" spans="2:28" ht="15.75">
      <c r="B650" s="248"/>
      <c r="C650" s="248"/>
      <c r="D650" s="248"/>
      <c r="E650" s="248"/>
      <c r="F650" s="248"/>
      <c r="G650" s="248"/>
      <c r="H650" s="248"/>
      <c r="I650" s="248"/>
      <c r="J650" s="248"/>
      <c r="K650" s="248"/>
      <c r="L650" s="248"/>
      <c r="M650" s="248"/>
      <c r="N650" s="248"/>
      <c r="O650" s="248"/>
      <c r="P650" s="248"/>
      <c r="Q650" s="248"/>
      <c r="R650" s="248"/>
      <c r="S650" s="248"/>
      <c r="T650" s="248"/>
      <c r="U650" s="248"/>
      <c r="V650" s="248"/>
      <c r="W650" s="248"/>
      <c r="X650" s="248"/>
      <c r="Y650" s="248"/>
      <c r="Z650" s="248"/>
      <c r="AA650" s="248"/>
      <c r="AB650" s="248"/>
    </row>
    <row r="651" spans="2:28" ht="15.75">
      <c r="B651" s="248"/>
      <c r="C651" s="248"/>
      <c r="D651" s="248"/>
      <c r="E651" s="248"/>
      <c r="F651" s="248"/>
      <c r="G651" s="248"/>
      <c r="H651" s="248"/>
      <c r="I651" s="248"/>
      <c r="J651" s="248"/>
      <c r="K651" s="248"/>
      <c r="L651" s="248"/>
      <c r="M651" s="248"/>
      <c r="N651" s="248"/>
      <c r="O651" s="248"/>
      <c r="P651" s="248"/>
      <c r="Q651" s="248"/>
      <c r="R651" s="248"/>
      <c r="S651" s="248"/>
      <c r="T651" s="248"/>
      <c r="U651" s="248"/>
      <c r="V651" s="248"/>
      <c r="W651" s="248"/>
      <c r="X651" s="248"/>
      <c r="Y651" s="248"/>
      <c r="Z651" s="248"/>
      <c r="AA651" s="248"/>
      <c r="AB651" s="248"/>
    </row>
    <row r="652" spans="2:28" ht="15.75">
      <c r="B652" s="248"/>
      <c r="C652" s="248"/>
      <c r="D652" s="248"/>
      <c r="E652" s="248"/>
      <c r="F652" s="248"/>
      <c r="G652" s="248"/>
      <c r="H652" s="248"/>
      <c r="I652" s="248"/>
      <c r="J652" s="248"/>
      <c r="K652" s="248"/>
      <c r="L652" s="248"/>
      <c r="M652" s="248"/>
      <c r="N652" s="248"/>
      <c r="O652" s="248"/>
      <c r="P652" s="248"/>
      <c r="Q652" s="248"/>
      <c r="R652" s="248"/>
      <c r="S652" s="248"/>
      <c r="T652" s="248"/>
      <c r="U652" s="248"/>
      <c r="V652" s="248"/>
      <c r="W652" s="248"/>
      <c r="X652" s="248"/>
      <c r="Y652" s="248"/>
      <c r="Z652" s="248"/>
      <c r="AA652" s="248"/>
      <c r="AB652" s="248"/>
    </row>
    <row r="653" spans="2:28" ht="15.75">
      <c r="B653" s="248"/>
      <c r="C653" s="248"/>
      <c r="D653" s="248"/>
      <c r="E653" s="248"/>
      <c r="F653" s="248"/>
      <c r="G653" s="248"/>
      <c r="H653" s="248"/>
      <c r="I653" s="248"/>
      <c r="J653" s="248"/>
      <c r="K653" s="248"/>
      <c r="L653" s="248"/>
      <c r="M653" s="248"/>
      <c r="N653" s="248"/>
      <c r="O653" s="248"/>
      <c r="P653" s="248"/>
      <c r="Q653" s="248"/>
      <c r="R653" s="248"/>
      <c r="S653" s="248"/>
      <c r="T653" s="248"/>
      <c r="U653" s="248"/>
      <c r="V653" s="248"/>
      <c r="W653" s="248"/>
      <c r="X653" s="248"/>
      <c r="Y653" s="248"/>
      <c r="Z653" s="248"/>
      <c r="AA653" s="248"/>
      <c r="AB653" s="248"/>
    </row>
    <row r="654" spans="2:28" ht="15.75">
      <c r="B654" s="248"/>
      <c r="C654" s="248"/>
      <c r="D654" s="248"/>
      <c r="E654" s="248"/>
      <c r="F654" s="248"/>
      <c r="G654" s="248"/>
      <c r="H654" s="248"/>
      <c r="I654" s="248"/>
      <c r="J654" s="248"/>
      <c r="K654" s="248"/>
      <c r="L654" s="248"/>
      <c r="M654" s="248"/>
      <c r="N654" s="248"/>
      <c r="O654" s="248"/>
      <c r="P654" s="248"/>
      <c r="Q654" s="248"/>
      <c r="R654" s="248"/>
      <c r="S654" s="248"/>
      <c r="T654" s="248"/>
      <c r="U654" s="248"/>
      <c r="V654" s="248"/>
      <c r="W654" s="248"/>
      <c r="X654" s="248"/>
      <c r="Y654" s="248"/>
      <c r="Z654" s="248"/>
      <c r="AA654" s="248"/>
      <c r="AB654" s="248"/>
    </row>
    <row r="655" spans="2:28" ht="15.75">
      <c r="B655" s="248"/>
      <c r="C655" s="248"/>
      <c r="D655" s="248"/>
      <c r="E655" s="248"/>
      <c r="F655" s="248"/>
      <c r="G655" s="248"/>
      <c r="H655" s="248"/>
      <c r="I655" s="248"/>
      <c r="J655" s="248"/>
      <c r="K655" s="248"/>
      <c r="L655" s="248"/>
      <c r="M655" s="248"/>
      <c r="N655" s="248"/>
      <c r="O655" s="248"/>
      <c r="P655" s="248"/>
      <c r="Q655" s="248"/>
      <c r="R655" s="248"/>
      <c r="S655" s="248"/>
      <c r="T655" s="248"/>
      <c r="U655" s="248"/>
      <c r="V655" s="248"/>
      <c r="W655" s="248"/>
      <c r="X655" s="248"/>
      <c r="Y655" s="248"/>
      <c r="Z655" s="248"/>
      <c r="AA655" s="248"/>
      <c r="AB655" s="248"/>
    </row>
    <row r="656" spans="2:28" ht="15.75">
      <c r="B656" s="248"/>
      <c r="C656" s="248"/>
      <c r="D656" s="248"/>
      <c r="E656" s="248"/>
      <c r="F656" s="248"/>
      <c r="G656" s="248"/>
      <c r="H656" s="248"/>
      <c r="I656" s="248"/>
      <c r="J656" s="248"/>
      <c r="K656" s="248"/>
      <c r="L656" s="248"/>
      <c r="M656" s="248"/>
      <c r="N656" s="248"/>
      <c r="O656" s="248"/>
      <c r="P656" s="248"/>
      <c r="Q656" s="248"/>
      <c r="R656" s="248"/>
      <c r="S656" s="248"/>
      <c r="T656" s="248"/>
      <c r="U656" s="248"/>
      <c r="V656" s="248"/>
      <c r="W656" s="248"/>
      <c r="X656" s="248"/>
      <c r="Y656" s="248"/>
      <c r="Z656" s="248"/>
      <c r="AA656" s="248"/>
      <c r="AB656" s="248"/>
    </row>
    <row r="657" spans="2:28" ht="15.75">
      <c r="B657" s="248"/>
      <c r="C657" s="248"/>
      <c r="D657" s="248"/>
      <c r="E657" s="248"/>
      <c r="F657" s="248"/>
      <c r="G657" s="248"/>
      <c r="H657" s="248"/>
      <c r="I657" s="248"/>
      <c r="J657" s="248"/>
      <c r="K657" s="248"/>
      <c r="L657" s="248"/>
      <c r="M657" s="248"/>
      <c r="N657" s="248"/>
      <c r="O657" s="248"/>
      <c r="P657" s="248"/>
      <c r="Q657" s="248"/>
      <c r="R657" s="248"/>
      <c r="S657" s="248"/>
      <c r="T657" s="248"/>
      <c r="U657" s="248"/>
      <c r="V657" s="248"/>
      <c r="W657" s="248"/>
      <c r="X657" s="248"/>
      <c r="Y657" s="248"/>
      <c r="Z657" s="248"/>
      <c r="AA657" s="248"/>
      <c r="AB657" s="248"/>
    </row>
    <row r="658" spans="2:28" ht="15.75">
      <c r="B658" s="248"/>
      <c r="C658" s="248"/>
      <c r="D658" s="248"/>
      <c r="E658" s="248"/>
      <c r="F658" s="248"/>
      <c r="G658" s="248"/>
      <c r="H658" s="248"/>
      <c r="I658" s="248"/>
      <c r="J658" s="248"/>
      <c r="K658" s="248"/>
      <c r="L658" s="248"/>
      <c r="M658" s="248"/>
      <c r="N658" s="248"/>
      <c r="O658" s="248"/>
      <c r="P658" s="248"/>
      <c r="Q658" s="248"/>
      <c r="R658" s="248"/>
      <c r="S658" s="248"/>
      <c r="T658" s="248"/>
      <c r="U658" s="248"/>
      <c r="V658" s="248"/>
      <c r="W658" s="248"/>
      <c r="X658" s="248"/>
      <c r="Y658" s="248"/>
      <c r="Z658" s="248"/>
      <c r="AA658" s="248"/>
      <c r="AB658" s="248"/>
    </row>
    <row r="659" spans="2:28" ht="15.75">
      <c r="B659" s="248"/>
      <c r="C659" s="248"/>
      <c r="D659" s="248"/>
      <c r="E659" s="248"/>
      <c r="F659" s="248"/>
      <c r="G659" s="248"/>
      <c r="H659" s="248"/>
      <c r="I659" s="248"/>
      <c r="J659" s="248"/>
      <c r="K659" s="248"/>
      <c r="L659" s="248"/>
      <c r="M659" s="248"/>
      <c r="N659" s="248"/>
      <c r="O659" s="248"/>
      <c r="P659" s="248"/>
      <c r="Q659" s="248"/>
      <c r="R659" s="248"/>
      <c r="S659" s="248"/>
      <c r="T659" s="248"/>
      <c r="U659" s="248"/>
      <c r="V659" s="248"/>
      <c r="W659" s="248"/>
      <c r="X659" s="248"/>
      <c r="Y659" s="248"/>
      <c r="Z659" s="248"/>
      <c r="AA659" s="248"/>
      <c r="AB659" s="248"/>
    </row>
    <row r="660" spans="2:28" ht="15.75">
      <c r="B660" s="248"/>
      <c r="C660" s="248"/>
      <c r="D660" s="248"/>
      <c r="E660" s="248"/>
      <c r="F660" s="248"/>
      <c r="G660" s="248"/>
      <c r="H660" s="248"/>
      <c r="I660" s="248"/>
      <c r="J660" s="248"/>
      <c r="K660" s="248"/>
      <c r="L660" s="248"/>
      <c r="M660" s="248"/>
      <c r="N660" s="248"/>
      <c r="O660" s="248"/>
      <c r="P660" s="248"/>
      <c r="Q660" s="248"/>
      <c r="R660" s="248"/>
      <c r="S660" s="248"/>
      <c r="T660" s="248"/>
      <c r="U660" s="248"/>
      <c r="V660" s="248"/>
      <c r="W660" s="248"/>
      <c r="X660" s="248"/>
      <c r="Y660" s="248"/>
      <c r="Z660" s="248"/>
      <c r="AA660" s="248"/>
      <c r="AB660" s="248"/>
    </row>
    <row r="661" spans="2:28" ht="15.75">
      <c r="B661" s="248"/>
      <c r="C661" s="248"/>
      <c r="D661" s="248"/>
      <c r="E661" s="248"/>
      <c r="F661" s="248"/>
      <c r="G661" s="248"/>
      <c r="H661" s="248"/>
      <c r="I661" s="248"/>
      <c r="J661" s="248"/>
      <c r="K661" s="248"/>
      <c r="L661" s="248"/>
      <c r="M661" s="248"/>
      <c r="N661" s="248"/>
      <c r="O661" s="248"/>
      <c r="P661" s="248"/>
      <c r="Q661" s="248"/>
      <c r="R661" s="248"/>
      <c r="S661" s="248"/>
      <c r="T661" s="248"/>
      <c r="U661" s="248"/>
      <c r="V661" s="248"/>
      <c r="W661" s="248"/>
      <c r="X661" s="248"/>
      <c r="Y661" s="248"/>
      <c r="Z661" s="248"/>
      <c r="AA661" s="248"/>
      <c r="AB661" s="248"/>
    </row>
    <row r="662" spans="2:28" ht="15.75">
      <c r="B662" s="248"/>
      <c r="C662" s="248"/>
      <c r="D662" s="248"/>
      <c r="E662" s="248"/>
      <c r="F662" s="248"/>
      <c r="G662" s="248"/>
      <c r="H662" s="248"/>
      <c r="I662" s="248"/>
      <c r="J662" s="248"/>
      <c r="K662" s="248"/>
      <c r="L662" s="248"/>
      <c r="M662" s="248"/>
      <c r="N662" s="248"/>
      <c r="O662" s="248"/>
      <c r="P662" s="248"/>
      <c r="Q662" s="248"/>
      <c r="R662" s="248"/>
      <c r="S662" s="248"/>
      <c r="T662" s="248"/>
      <c r="U662" s="248"/>
      <c r="V662" s="248"/>
      <c r="W662" s="248"/>
      <c r="X662" s="248"/>
      <c r="Y662" s="248"/>
      <c r="Z662" s="248"/>
      <c r="AA662" s="248"/>
      <c r="AB662" s="248"/>
    </row>
    <row r="663" spans="2:28" ht="15.75">
      <c r="B663" s="248"/>
      <c r="C663" s="248"/>
      <c r="D663" s="248"/>
      <c r="E663" s="248"/>
      <c r="F663" s="248"/>
      <c r="G663" s="248"/>
      <c r="H663" s="248"/>
      <c r="I663" s="248"/>
      <c r="J663" s="248"/>
      <c r="K663" s="248"/>
      <c r="L663" s="248"/>
      <c r="M663" s="248"/>
      <c r="N663" s="248"/>
      <c r="O663" s="248"/>
      <c r="P663" s="248"/>
      <c r="Q663" s="248"/>
      <c r="R663" s="248"/>
      <c r="S663" s="248"/>
      <c r="T663" s="248"/>
      <c r="U663" s="248"/>
      <c r="V663" s="248"/>
      <c r="W663" s="248"/>
      <c r="X663" s="248"/>
      <c r="Y663" s="248"/>
      <c r="Z663" s="248"/>
      <c r="AA663" s="248"/>
      <c r="AB663" s="248"/>
    </row>
    <row r="664" spans="2:28" ht="15.75">
      <c r="B664" s="248"/>
      <c r="C664" s="248"/>
      <c r="D664" s="248"/>
      <c r="E664" s="248"/>
      <c r="F664" s="248"/>
      <c r="G664" s="248"/>
      <c r="H664" s="248"/>
      <c r="I664" s="248"/>
      <c r="J664" s="248"/>
      <c r="K664" s="248"/>
      <c r="L664" s="248"/>
      <c r="M664" s="248"/>
      <c r="N664" s="248"/>
      <c r="O664" s="248"/>
      <c r="P664" s="248"/>
      <c r="Q664" s="248"/>
      <c r="R664" s="248"/>
      <c r="S664" s="248"/>
      <c r="T664" s="248"/>
      <c r="U664" s="248"/>
      <c r="V664" s="248"/>
      <c r="W664" s="248"/>
      <c r="X664" s="248"/>
      <c r="Y664" s="248"/>
      <c r="Z664" s="248"/>
      <c r="AA664" s="248"/>
      <c r="AB664" s="248"/>
    </row>
    <row r="665" spans="2:28" ht="15.75">
      <c r="B665" s="248"/>
      <c r="C665" s="248"/>
      <c r="D665" s="248"/>
      <c r="E665" s="248"/>
      <c r="F665" s="248"/>
      <c r="G665" s="248"/>
      <c r="H665" s="248"/>
      <c r="I665" s="248"/>
      <c r="J665" s="248"/>
      <c r="K665" s="248"/>
      <c r="L665" s="248"/>
      <c r="M665" s="248"/>
      <c r="N665" s="248"/>
      <c r="O665" s="248"/>
      <c r="P665" s="248"/>
      <c r="Q665" s="248"/>
      <c r="R665" s="248"/>
      <c r="S665" s="248"/>
      <c r="T665" s="248"/>
      <c r="U665" s="248"/>
      <c r="V665" s="248"/>
      <c r="W665" s="248"/>
      <c r="X665" s="248"/>
      <c r="Y665" s="248"/>
      <c r="Z665" s="248"/>
      <c r="AA665" s="248"/>
      <c r="AB665" s="248"/>
    </row>
    <row r="666" spans="2:28" ht="15.75">
      <c r="B666" s="248"/>
      <c r="C666" s="248"/>
      <c r="D666" s="248"/>
      <c r="E666" s="248"/>
      <c r="F666" s="248"/>
      <c r="G666" s="248"/>
      <c r="H666" s="248"/>
      <c r="I666" s="248"/>
      <c r="J666" s="248"/>
      <c r="K666" s="248"/>
      <c r="L666" s="248"/>
      <c r="M666" s="248"/>
      <c r="N666" s="248"/>
      <c r="O666" s="248"/>
      <c r="P666" s="248"/>
      <c r="Q666" s="248"/>
      <c r="R666" s="248"/>
      <c r="S666" s="248"/>
      <c r="T666" s="248"/>
      <c r="U666" s="248"/>
      <c r="V666" s="248"/>
      <c r="W666" s="248"/>
      <c r="X666" s="248"/>
      <c r="Y666" s="248"/>
      <c r="Z666" s="248"/>
      <c r="AA666" s="248"/>
      <c r="AB666" s="248"/>
    </row>
    <row r="667" spans="2:28" ht="15.75">
      <c r="B667" s="248"/>
      <c r="C667" s="248"/>
      <c r="D667" s="248"/>
      <c r="E667" s="248"/>
      <c r="F667" s="248"/>
      <c r="G667" s="248"/>
      <c r="H667" s="248"/>
      <c r="I667" s="248"/>
      <c r="J667" s="248"/>
      <c r="K667" s="248"/>
      <c r="L667" s="248"/>
      <c r="M667" s="248"/>
      <c r="N667" s="248"/>
      <c r="O667" s="248"/>
      <c r="P667" s="248"/>
      <c r="Q667" s="248"/>
      <c r="R667" s="248"/>
      <c r="S667" s="248"/>
      <c r="T667" s="248"/>
      <c r="U667" s="248"/>
      <c r="V667" s="248"/>
      <c r="W667" s="248"/>
      <c r="X667" s="248"/>
      <c r="Y667" s="248"/>
      <c r="Z667" s="248"/>
      <c r="AA667" s="248"/>
      <c r="AB667" s="248"/>
    </row>
    <row r="668" spans="2:28" ht="15.75">
      <c r="B668" s="248"/>
      <c r="C668" s="248"/>
      <c r="D668" s="248"/>
      <c r="E668" s="248"/>
      <c r="F668" s="248"/>
      <c r="G668" s="248"/>
      <c r="H668" s="248"/>
      <c r="I668" s="248"/>
      <c r="J668" s="248"/>
      <c r="K668" s="248"/>
      <c r="L668" s="248"/>
      <c r="M668" s="248"/>
      <c r="N668" s="248"/>
      <c r="O668" s="248"/>
      <c r="P668" s="248"/>
      <c r="Q668" s="248"/>
      <c r="R668" s="248"/>
      <c r="S668" s="248"/>
      <c r="T668" s="248"/>
      <c r="U668" s="248"/>
      <c r="V668" s="248"/>
      <c r="W668" s="248"/>
      <c r="X668" s="248"/>
      <c r="Y668" s="248"/>
      <c r="Z668" s="248"/>
      <c r="AA668" s="248"/>
      <c r="AB668" s="248"/>
    </row>
    <row r="669" spans="2:28" ht="15.75">
      <c r="B669" s="248"/>
      <c r="C669" s="248"/>
      <c r="D669" s="248"/>
      <c r="E669" s="248"/>
      <c r="F669" s="248"/>
      <c r="G669" s="248"/>
      <c r="H669" s="248"/>
      <c r="I669" s="248"/>
      <c r="J669" s="248"/>
      <c r="K669" s="248"/>
      <c r="L669" s="248"/>
      <c r="M669" s="248"/>
      <c r="N669" s="248"/>
      <c r="O669" s="248"/>
      <c r="P669" s="248"/>
      <c r="Q669" s="248"/>
      <c r="R669" s="248"/>
      <c r="S669" s="248"/>
      <c r="T669" s="248"/>
      <c r="U669" s="248"/>
      <c r="V669" s="248"/>
      <c r="W669" s="248"/>
      <c r="X669" s="248"/>
      <c r="Y669" s="248"/>
      <c r="Z669" s="248"/>
      <c r="AA669" s="248"/>
      <c r="AB669" s="248"/>
    </row>
    <row r="670" spans="2:28" ht="15.75">
      <c r="B670" s="248"/>
      <c r="C670" s="248"/>
      <c r="D670" s="248"/>
      <c r="E670" s="248"/>
      <c r="F670" s="248"/>
      <c r="G670" s="248"/>
      <c r="H670" s="248"/>
      <c r="I670" s="248"/>
      <c r="J670" s="248"/>
      <c r="K670" s="248"/>
      <c r="L670" s="248"/>
      <c r="M670" s="248"/>
      <c r="N670" s="248"/>
      <c r="O670" s="248"/>
      <c r="P670" s="248"/>
      <c r="Q670" s="248"/>
      <c r="R670" s="248"/>
      <c r="S670" s="248"/>
      <c r="T670" s="248"/>
      <c r="U670" s="248"/>
      <c r="V670" s="248"/>
      <c r="W670" s="248"/>
      <c r="X670" s="248"/>
      <c r="Y670" s="248"/>
      <c r="Z670" s="248"/>
      <c r="AA670" s="248"/>
      <c r="AB670" s="248"/>
    </row>
    <row r="671" spans="2:28" ht="15.75">
      <c r="B671" s="248"/>
      <c r="C671" s="248"/>
      <c r="D671" s="248"/>
      <c r="E671" s="248"/>
      <c r="F671" s="248"/>
      <c r="G671" s="248"/>
      <c r="H671" s="248"/>
      <c r="I671" s="248"/>
      <c r="J671" s="248"/>
      <c r="K671" s="248"/>
      <c r="L671" s="248"/>
      <c r="M671" s="248"/>
      <c r="N671" s="248"/>
      <c r="O671" s="248"/>
      <c r="P671" s="248"/>
      <c r="Q671" s="248"/>
      <c r="R671" s="248"/>
      <c r="S671" s="248"/>
      <c r="T671" s="248"/>
      <c r="U671" s="248"/>
      <c r="V671" s="248"/>
      <c r="W671" s="248"/>
      <c r="X671" s="248"/>
      <c r="Y671" s="248"/>
      <c r="Z671" s="248"/>
      <c r="AA671" s="248"/>
      <c r="AB671" s="248"/>
    </row>
    <row r="672" spans="2:28" ht="15.75">
      <c r="B672" s="248"/>
      <c r="C672" s="248"/>
      <c r="D672" s="248"/>
      <c r="E672" s="248"/>
      <c r="F672" s="248"/>
      <c r="G672" s="248"/>
      <c r="H672" s="248"/>
      <c r="I672" s="248"/>
      <c r="J672" s="248"/>
      <c r="K672" s="248"/>
      <c r="L672" s="248"/>
      <c r="M672" s="248"/>
      <c r="N672" s="248"/>
      <c r="O672" s="248"/>
      <c r="P672" s="248"/>
      <c r="Q672" s="248"/>
      <c r="R672" s="248"/>
      <c r="S672" s="248"/>
      <c r="T672" s="248"/>
      <c r="U672" s="248"/>
      <c r="V672" s="248"/>
      <c r="W672" s="248"/>
      <c r="X672" s="248"/>
      <c r="Y672" s="248"/>
      <c r="Z672" s="248"/>
      <c r="AA672" s="248"/>
      <c r="AB672" s="248"/>
    </row>
    <row r="673" spans="2:28" ht="15.75">
      <c r="B673" s="248"/>
      <c r="C673" s="248"/>
      <c r="D673" s="248"/>
      <c r="E673" s="248"/>
      <c r="F673" s="248"/>
      <c r="G673" s="248"/>
      <c r="H673" s="248"/>
      <c r="I673" s="248"/>
      <c r="J673" s="248"/>
      <c r="K673" s="248"/>
      <c r="L673" s="248"/>
      <c r="M673" s="248"/>
      <c r="N673" s="248"/>
      <c r="O673" s="248"/>
      <c r="P673" s="248"/>
      <c r="Q673" s="248"/>
      <c r="R673" s="248"/>
      <c r="S673" s="248"/>
      <c r="T673" s="248"/>
      <c r="U673" s="248"/>
      <c r="V673" s="248"/>
      <c r="W673" s="248"/>
      <c r="X673" s="248"/>
      <c r="Y673" s="248"/>
      <c r="Z673" s="248"/>
      <c r="AA673" s="248"/>
      <c r="AB673" s="248"/>
    </row>
    <row r="674" spans="2:28" ht="15.75">
      <c r="B674" s="248"/>
      <c r="C674" s="248"/>
      <c r="D674" s="248"/>
      <c r="E674" s="248"/>
      <c r="F674" s="248"/>
      <c r="G674" s="248"/>
      <c r="H674" s="248"/>
      <c r="I674" s="248"/>
      <c r="J674" s="248"/>
      <c r="K674" s="248"/>
      <c r="L674" s="248"/>
      <c r="M674" s="248"/>
      <c r="N674" s="248"/>
      <c r="O674" s="248"/>
      <c r="P674" s="248"/>
      <c r="Q674" s="248"/>
      <c r="R674" s="248"/>
      <c r="S674" s="248"/>
      <c r="T674" s="248"/>
      <c r="U674" s="248"/>
      <c r="V674" s="248"/>
      <c r="W674" s="248"/>
      <c r="X674" s="248"/>
      <c r="Y674" s="248"/>
      <c r="Z674" s="248"/>
      <c r="AA674" s="248"/>
      <c r="AB674" s="248"/>
    </row>
    <row r="675" spans="2:28" ht="15.75">
      <c r="B675" s="248"/>
      <c r="C675" s="248"/>
      <c r="D675" s="248"/>
      <c r="E675" s="248"/>
      <c r="F675" s="248"/>
      <c r="G675" s="248"/>
      <c r="H675" s="248"/>
      <c r="I675" s="248"/>
      <c r="J675" s="248"/>
      <c r="K675" s="248"/>
      <c r="L675" s="248"/>
      <c r="M675" s="248"/>
      <c r="N675" s="248"/>
      <c r="O675" s="248"/>
      <c r="P675" s="248"/>
      <c r="Q675" s="248"/>
      <c r="R675" s="248"/>
      <c r="S675" s="248"/>
      <c r="T675" s="248"/>
      <c r="U675" s="248"/>
      <c r="V675" s="248"/>
      <c r="W675" s="248"/>
      <c r="X675" s="248"/>
      <c r="Y675" s="248"/>
      <c r="Z675" s="248"/>
      <c r="AA675" s="248"/>
      <c r="AB675" s="248"/>
    </row>
    <row r="676" spans="2:28" ht="15.75">
      <c r="B676" s="248"/>
      <c r="C676" s="248"/>
      <c r="D676" s="248"/>
      <c r="E676" s="248"/>
      <c r="F676" s="248"/>
      <c r="G676" s="248"/>
      <c r="H676" s="248"/>
      <c r="I676" s="248"/>
      <c r="J676" s="248"/>
      <c r="K676" s="248"/>
      <c r="L676" s="248"/>
      <c r="M676" s="248"/>
      <c r="N676" s="248"/>
      <c r="O676" s="248"/>
      <c r="P676" s="248"/>
      <c r="Q676" s="248"/>
      <c r="R676" s="248"/>
      <c r="S676" s="248"/>
      <c r="T676" s="248"/>
      <c r="U676" s="248"/>
      <c r="V676" s="248"/>
      <c r="W676" s="248"/>
      <c r="X676" s="248"/>
      <c r="Y676" s="248"/>
      <c r="Z676" s="248"/>
      <c r="AA676" s="248"/>
      <c r="AB676" s="248"/>
    </row>
    <row r="677" spans="2:28" ht="15.75">
      <c r="B677" s="248"/>
      <c r="C677" s="248"/>
      <c r="D677" s="248"/>
      <c r="E677" s="248"/>
      <c r="F677" s="248"/>
      <c r="G677" s="248"/>
      <c r="H677" s="248"/>
      <c r="I677" s="248"/>
      <c r="J677" s="248"/>
      <c r="K677" s="248"/>
      <c r="L677" s="248"/>
      <c r="M677" s="248"/>
      <c r="N677" s="248"/>
      <c r="O677" s="248"/>
      <c r="P677" s="248"/>
      <c r="Q677" s="248"/>
      <c r="R677" s="248"/>
      <c r="S677" s="248"/>
      <c r="T677" s="248"/>
      <c r="U677" s="248"/>
      <c r="V677" s="248"/>
      <c r="W677" s="248"/>
      <c r="X677" s="248"/>
      <c r="Y677" s="248"/>
      <c r="Z677" s="248"/>
      <c r="AA677" s="248"/>
      <c r="AB677" s="248"/>
    </row>
    <row r="678" spans="2:28" ht="15.75">
      <c r="B678" s="248"/>
      <c r="C678" s="248"/>
      <c r="D678" s="248"/>
      <c r="E678" s="248"/>
      <c r="F678" s="248"/>
      <c r="G678" s="248"/>
      <c r="H678" s="248"/>
      <c r="I678" s="248"/>
      <c r="J678" s="248"/>
      <c r="K678" s="248"/>
      <c r="L678" s="248"/>
      <c r="M678" s="248"/>
      <c r="N678" s="248"/>
      <c r="O678" s="248"/>
      <c r="P678" s="248"/>
      <c r="Q678" s="248"/>
      <c r="R678" s="248"/>
      <c r="S678" s="248"/>
      <c r="T678" s="248"/>
      <c r="U678" s="248"/>
      <c r="V678" s="248"/>
      <c r="W678" s="248"/>
      <c r="X678" s="248"/>
      <c r="Y678" s="248"/>
      <c r="Z678" s="248"/>
      <c r="AA678" s="248"/>
      <c r="AB678" s="248"/>
    </row>
    <row r="679" spans="2:28" ht="15.75">
      <c r="B679" s="248"/>
      <c r="C679" s="248"/>
      <c r="D679" s="248"/>
      <c r="E679" s="248"/>
      <c r="F679" s="248"/>
      <c r="G679" s="248"/>
      <c r="H679" s="248"/>
      <c r="I679" s="248"/>
      <c r="J679" s="248"/>
      <c r="K679" s="248"/>
      <c r="L679" s="248"/>
      <c r="M679" s="248"/>
      <c r="N679" s="248"/>
      <c r="O679" s="248"/>
      <c r="P679" s="248"/>
      <c r="Q679" s="248"/>
      <c r="R679" s="248"/>
      <c r="S679" s="248"/>
      <c r="T679" s="248"/>
      <c r="U679" s="248"/>
      <c r="V679" s="248"/>
      <c r="W679" s="248"/>
      <c r="X679" s="248"/>
      <c r="Y679" s="248"/>
      <c r="Z679" s="248"/>
      <c r="AA679" s="248"/>
      <c r="AB679" s="248"/>
    </row>
    <row r="680" spans="2:28" ht="15.75">
      <c r="B680" s="248"/>
      <c r="C680" s="248"/>
      <c r="D680" s="248"/>
      <c r="E680" s="248"/>
      <c r="F680" s="248"/>
      <c r="G680" s="248"/>
      <c r="H680" s="248"/>
      <c r="I680" s="248"/>
      <c r="J680" s="248"/>
      <c r="K680" s="248"/>
      <c r="L680" s="248"/>
      <c r="M680" s="248"/>
      <c r="N680" s="248"/>
      <c r="O680" s="248"/>
      <c r="P680" s="248"/>
      <c r="Q680" s="248"/>
      <c r="R680" s="248"/>
      <c r="S680" s="248"/>
      <c r="T680" s="248"/>
      <c r="U680" s="248"/>
      <c r="V680" s="248"/>
      <c r="W680" s="248"/>
      <c r="X680" s="248"/>
      <c r="Y680" s="248"/>
      <c r="Z680" s="248"/>
      <c r="AA680" s="248"/>
      <c r="AB680" s="248"/>
    </row>
    <row r="681" spans="2:28" ht="15.75">
      <c r="B681" s="248"/>
      <c r="C681" s="248"/>
      <c r="D681" s="248"/>
      <c r="E681" s="248"/>
      <c r="F681" s="248"/>
      <c r="G681" s="248"/>
      <c r="H681" s="248"/>
      <c r="I681" s="248"/>
      <c r="J681" s="248"/>
      <c r="K681" s="248"/>
      <c r="L681" s="248"/>
      <c r="M681" s="248"/>
      <c r="N681" s="248"/>
      <c r="O681" s="248"/>
      <c r="P681" s="248"/>
      <c r="Q681" s="248"/>
      <c r="R681" s="248"/>
      <c r="S681" s="248"/>
      <c r="T681" s="248"/>
      <c r="U681" s="248"/>
      <c r="V681" s="248"/>
      <c r="W681" s="248"/>
      <c r="X681" s="248"/>
      <c r="Y681" s="248"/>
      <c r="Z681" s="248"/>
      <c r="AA681" s="248"/>
      <c r="AB681" s="248"/>
    </row>
    <row r="682" spans="2:28" ht="15.75">
      <c r="B682" s="248"/>
      <c r="C682" s="248"/>
      <c r="D682" s="248"/>
      <c r="E682" s="248"/>
      <c r="F682" s="248"/>
      <c r="G682" s="248"/>
      <c r="H682" s="248"/>
      <c r="I682" s="248"/>
      <c r="J682" s="248"/>
      <c r="K682" s="248"/>
      <c r="L682" s="248"/>
      <c r="M682" s="248"/>
      <c r="N682" s="248"/>
      <c r="O682" s="248"/>
      <c r="P682" s="248"/>
      <c r="Q682" s="248"/>
      <c r="R682" s="248"/>
      <c r="S682" s="248"/>
      <c r="T682" s="248"/>
      <c r="U682" s="248"/>
      <c r="V682" s="248"/>
      <c r="W682" s="248"/>
      <c r="X682" s="248"/>
      <c r="Y682" s="248"/>
      <c r="Z682" s="248"/>
      <c r="AA682" s="248"/>
      <c r="AB682" s="248"/>
    </row>
    <row r="683" spans="2:28" ht="15.75">
      <c r="B683" s="248"/>
      <c r="C683" s="248"/>
      <c r="D683" s="248"/>
      <c r="E683" s="248"/>
      <c r="F683" s="248"/>
      <c r="G683" s="248"/>
      <c r="H683" s="248"/>
      <c r="I683" s="248"/>
      <c r="J683" s="248"/>
      <c r="K683" s="248"/>
      <c r="L683" s="248"/>
      <c r="M683" s="248"/>
      <c r="N683" s="248"/>
      <c r="O683" s="248"/>
      <c r="P683" s="248"/>
      <c r="Q683" s="248"/>
      <c r="R683" s="248"/>
      <c r="S683" s="248"/>
      <c r="T683" s="248"/>
      <c r="U683" s="248"/>
      <c r="V683" s="248"/>
      <c r="W683" s="248"/>
      <c r="X683" s="248"/>
      <c r="Y683" s="248"/>
      <c r="Z683" s="248"/>
      <c r="AA683" s="248"/>
      <c r="AB683" s="248"/>
    </row>
    <row r="684" spans="2:28" ht="15.75">
      <c r="B684" s="248"/>
      <c r="C684" s="248"/>
      <c r="D684" s="248"/>
      <c r="E684" s="248"/>
      <c r="F684" s="248"/>
      <c r="G684" s="248"/>
      <c r="H684" s="248"/>
      <c r="I684" s="248"/>
      <c r="J684" s="248"/>
      <c r="K684" s="248"/>
      <c r="L684" s="248"/>
      <c r="M684" s="248"/>
      <c r="N684" s="248"/>
      <c r="O684" s="248"/>
      <c r="P684" s="248"/>
      <c r="Q684" s="248"/>
      <c r="R684" s="248"/>
      <c r="S684" s="248"/>
      <c r="T684" s="248"/>
      <c r="U684" s="248"/>
      <c r="V684" s="248"/>
      <c r="W684" s="248"/>
      <c r="X684" s="248"/>
      <c r="Y684" s="248"/>
      <c r="Z684" s="248"/>
      <c r="AA684" s="248"/>
      <c r="AB684" s="248"/>
    </row>
    <row r="685" spans="2:28" ht="15.75">
      <c r="B685" s="248"/>
      <c r="C685" s="248"/>
      <c r="D685" s="248"/>
      <c r="E685" s="248"/>
      <c r="F685" s="248"/>
      <c r="G685" s="248"/>
      <c r="H685" s="248"/>
      <c r="I685" s="248"/>
      <c r="J685" s="248"/>
      <c r="K685" s="248"/>
      <c r="L685" s="248"/>
      <c r="M685" s="248"/>
      <c r="N685" s="248"/>
      <c r="O685" s="248"/>
      <c r="P685" s="248"/>
      <c r="Q685" s="248"/>
      <c r="R685" s="248"/>
      <c r="S685" s="248"/>
      <c r="T685" s="248"/>
      <c r="U685" s="248"/>
      <c r="V685" s="248"/>
      <c r="W685" s="248"/>
      <c r="X685" s="248"/>
      <c r="Y685" s="248"/>
      <c r="Z685" s="248"/>
      <c r="AA685" s="248"/>
      <c r="AB685" s="248"/>
    </row>
    <row r="686" spans="2:28" ht="15.75">
      <c r="B686" s="248"/>
      <c r="C686" s="248"/>
      <c r="D686" s="248"/>
      <c r="E686" s="248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248"/>
      <c r="Q686" s="248"/>
      <c r="R686" s="248"/>
      <c r="S686" s="248"/>
      <c r="T686" s="248"/>
      <c r="U686" s="248"/>
      <c r="V686" s="248"/>
      <c r="W686" s="248"/>
      <c r="X686" s="248"/>
      <c r="Y686" s="248"/>
      <c r="Z686" s="248"/>
      <c r="AA686" s="248"/>
      <c r="AB686" s="248"/>
    </row>
    <row r="687" spans="2:28" ht="15.75">
      <c r="B687" s="248"/>
      <c r="C687" s="248"/>
      <c r="D687" s="248"/>
      <c r="E687" s="248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248"/>
      <c r="Q687" s="248"/>
      <c r="R687" s="248"/>
      <c r="S687" s="248"/>
      <c r="T687" s="248"/>
      <c r="U687" s="248"/>
      <c r="V687" s="248"/>
      <c r="W687" s="248"/>
      <c r="X687" s="248"/>
      <c r="Y687" s="248"/>
      <c r="Z687" s="248"/>
      <c r="AA687" s="248"/>
      <c r="AB687" s="248"/>
    </row>
    <row r="688" spans="2:28" ht="15.75">
      <c r="B688" s="248"/>
      <c r="C688" s="248"/>
      <c r="D688" s="248"/>
      <c r="E688" s="248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248"/>
      <c r="Q688" s="248"/>
      <c r="R688" s="248"/>
      <c r="S688" s="248"/>
      <c r="T688" s="248"/>
      <c r="U688" s="248"/>
      <c r="V688" s="248"/>
      <c r="W688" s="248"/>
      <c r="X688" s="248"/>
      <c r="Y688" s="248"/>
      <c r="Z688" s="248"/>
      <c r="AA688" s="248"/>
      <c r="AB688" s="248"/>
    </row>
    <row r="689" spans="2:28" ht="15.75">
      <c r="B689" s="248"/>
      <c r="C689" s="248"/>
      <c r="D689" s="248"/>
      <c r="E689" s="248"/>
      <c r="F689" s="248"/>
      <c r="G689" s="248"/>
      <c r="H689" s="24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  <c r="U689" s="248"/>
      <c r="V689" s="248"/>
      <c r="W689" s="248"/>
      <c r="X689" s="248"/>
      <c r="Y689" s="248"/>
      <c r="Z689" s="248"/>
      <c r="AA689" s="248"/>
      <c r="AB689" s="248"/>
    </row>
    <row r="690" spans="2:28" ht="15.75">
      <c r="B690" s="248"/>
      <c r="C690" s="248"/>
      <c r="D690" s="248"/>
      <c r="E690" s="248"/>
      <c r="F690" s="248"/>
      <c r="G690" s="248"/>
      <c r="H690" s="248"/>
      <c r="I690" s="248"/>
      <c r="J690" s="248"/>
      <c r="K690" s="248"/>
      <c r="L690" s="248"/>
      <c r="M690" s="248"/>
      <c r="N690" s="248"/>
      <c r="O690" s="248"/>
      <c r="P690" s="248"/>
      <c r="Q690" s="248"/>
      <c r="R690" s="248"/>
      <c r="S690" s="248"/>
      <c r="T690" s="248"/>
      <c r="U690" s="248"/>
      <c r="V690" s="248"/>
      <c r="W690" s="248"/>
      <c r="X690" s="248"/>
      <c r="Y690" s="248"/>
      <c r="Z690" s="248"/>
      <c r="AA690" s="248"/>
      <c r="AB690" s="248"/>
    </row>
    <row r="691" spans="2:28" ht="15.75">
      <c r="B691" s="248"/>
      <c r="C691" s="248"/>
      <c r="D691" s="248"/>
      <c r="E691" s="248"/>
      <c r="F691" s="248"/>
      <c r="G691" s="248"/>
      <c r="H691" s="248"/>
      <c r="I691" s="248"/>
      <c r="J691" s="248"/>
      <c r="K691" s="248"/>
      <c r="L691" s="248"/>
      <c r="M691" s="248"/>
      <c r="N691" s="248"/>
      <c r="O691" s="248"/>
      <c r="P691" s="248"/>
      <c r="Q691" s="248"/>
      <c r="R691" s="248"/>
      <c r="S691" s="248"/>
      <c r="T691" s="248"/>
      <c r="U691" s="248"/>
      <c r="V691" s="248"/>
      <c r="W691" s="248"/>
      <c r="X691" s="248"/>
      <c r="Y691" s="248"/>
      <c r="Z691" s="248"/>
      <c r="AA691" s="248"/>
      <c r="AB691" s="248"/>
    </row>
    <row r="692" spans="2:28" ht="15.75">
      <c r="B692" s="248"/>
      <c r="C692" s="248"/>
      <c r="D692" s="248"/>
      <c r="E692" s="248"/>
      <c r="F692" s="248"/>
      <c r="G692" s="248"/>
      <c r="H692" s="248"/>
      <c r="I692" s="248"/>
      <c r="J692" s="248"/>
      <c r="K692" s="248"/>
      <c r="L692" s="248"/>
      <c r="M692" s="248"/>
      <c r="N692" s="248"/>
      <c r="O692" s="248"/>
      <c r="P692" s="248"/>
      <c r="Q692" s="248"/>
      <c r="R692" s="248"/>
      <c r="S692" s="248"/>
      <c r="T692" s="248"/>
      <c r="U692" s="248"/>
      <c r="V692" s="248"/>
      <c r="W692" s="248"/>
      <c r="X692" s="248"/>
      <c r="Y692" s="248"/>
      <c r="Z692" s="248"/>
      <c r="AA692" s="248"/>
      <c r="AB692" s="248"/>
    </row>
    <row r="693" spans="2:28" ht="15.75">
      <c r="B693" s="248"/>
      <c r="C693" s="248"/>
      <c r="D693" s="248"/>
      <c r="E693" s="248"/>
      <c r="F693" s="248"/>
      <c r="G693" s="248"/>
      <c r="H693" s="248"/>
      <c r="I693" s="248"/>
      <c r="J693" s="248"/>
      <c r="K693" s="248"/>
      <c r="L693" s="248"/>
      <c r="M693" s="248"/>
      <c r="N693" s="248"/>
      <c r="O693" s="248"/>
      <c r="P693" s="248"/>
      <c r="Q693" s="248"/>
      <c r="R693" s="248"/>
      <c r="S693" s="248"/>
      <c r="T693" s="248"/>
      <c r="U693" s="248"/>
      <c r="V693" s="248"/>
      <c r="W693" s="248"/>
      <c r="X693" s="248"/>
      <c r="Y693" s="248"/>
      <c r="Z693" s="248"/>
      <c r="AA693" s="248"/>
      <c r="AB693" s="248"/>
    </row>
    <row r="694" spans="2:28" ht="15.75">
      <c r="B694" s="248"/>
      <c r="C694" s="248"/>
      <c r="D694" s="248"/>
      <c r="E694" s="248"/>
      <c r="F694" s="248"/>
      <c r="G694" s="248"/>
      <c r="H694" s="248"/>
      <c r="I694" s="248"/>
      <c r="J694" s="248"/>
      <c r="K694" s="248"/>
      <c r="L694" s="248"/>
      <c r="M694" s="248"/>
      <c r="N694" s="248"/>
      <c r="O694" s="248"/>
      <c r="P694" s="248"/>
      <c r="Q694" s="248"/>
      <c r="R694" s="248"/>
      <c r="S694" s="248"/>
      <c r="T694" s="248"/>
      <c r="U694" s="248"/>
      <c r="V694" s="248"/>
      <c r="W694" s="248"/>
      <c r="X694" s="248"/>
      <c r="Y694" s="248"/>
      <c r="Z694" s="248"/>
      <c r="AA694" s="248"/>
      <c r="AB694" s="248"/>
    </row>
    <row r="695" spans="2:28" ht="15.75">
      <c r="B695" s="248"/>
      <c r="C695" s="248"/>
      <c r="D695" s="248"/>
      <c r="E695" s="248"/>
      <c r="F695" s="248"/>
      <c r="G695" s="248"/>
      <c r="H695" s="248"/>
      <c r="I695" s="248"/>
      <c r="J695" s="248"/>
      <c r="K695" s="248"/>
      <c r="L695" s="248"/>
      <c r="M695" s="248"/>
      <c r="N695" s="248"/>
      <c r="O695" s="248"/>
      <c r="P695" s="248"/>
      <c r="Q695" s="248"/>
      <c r="R695" s="248"/>
      <c r="S695" s="248"/>
      <c r="T695" s="248"/>
      <c r="U695" s="248"/>
      <c r="V695" s="248"/>
      <c r="W695" s="248"/>
      <c r="X695" s="248"/>
      <c r="Y695" s="248"/>
      <c r="Z695" s="248"/>
      <c r="AA695" s="248"/>
      <c r="AB695" s="248"/>
    </row>
    <row r="696" spans="2:28" ht="15.75">
      <c r="B696" s="248"/>
      <c r="C696" s="248"/>
      <c r="D696" s="248"/>
      <c r="E696" s="248"/>
      <c r="F696" s="248"/>
      <c r="G696" s="248"/>
      <c r="H696" s="248"/>
      <c r="I696" s="248"/>
      <c r="J696" s="248"/>
      <c r="K696" s="248"/>
      <c r="L696" s="248"/>
      <c r="M696" s="248"/>
      <c r="N696" s="248"/>
      <c r="O696" s="248"/>
      <c r="P696" s="248"/>
      <c r="Q696" s="248"/>
      <c r="R696" s="248"/>
      <c r="S696" s="248"/>
      <c r="T696" s="248"/>
      <c r="U696" s="248"/>
      <c r="V696" s="248"/>
      <c r="W696" s="248"/>
      <c r="X696" s="248"/>
      <c r="Y696" s="248"/>
      <c r="Z696" s="248"/>
      <c r="AA696" s="248"/>
      <c r="AB696" s="248"/>
    </row>
    <row r="697" spans="2:28" ht="15.75">
      <c r="B697" s="248"/>
      <c r="C697" s="248"/>
      <c r="D697" s="248"/>
      <c r="E697" s="248"/>
      <c r="F697" s="248"/>
      <c r="G697" s="248"/>
      <c r="H697" s="248"/>
      <c r="I697" s="248"/>
      <c r="J697" s="248"/>
      <c r="K697" s="248"/>
      <c r="L697" s="248"/>
      <c r="M697" s="248"/>
      <c r="N697" s="248"/>
      <c r="O697" s="248"/>
      <c r="P697" s="248"/>
      <c r="Q697" s="248"/>
      <c r="R697" s="248"/>
      <c r="S697" s="248"/>
      <c r="T697" s="248"/>
      <c r="U697" s="248"/>
      <c r="V697" s="248"/>
      <c r="W697" s="248"/>
      <c r="X697" s="248"/>
      <c r="Y697" s="248"/>
      <c r="Z697" s="248"/>
      <c r="AA697" s="248"/>
      <c r="AB697" s="248"/>
    </row>
    <row r="698" spans="2:28" ht="15.75">
      <c r="B698" s="248"/>
      <c r="C698" s="248"/>
      <c r="D698" s="248"/>
      <c r="E698" s="248"/>
      <c r="F698" s="248"/>
      <c r="G698" s="248"/>
      <c r="H698" s="248"/>
      <c r="I698" s="248"/>
      <c r="J698" s="248"/>
      <c r="K698" s="248"/>
      <c r="L698" s="248"/>
      <c r="M698" s="248"/>
      <c r="N698" s="248"/>
      <c r="O698" s="248"/>
      <c r="P698" s="248"/>
      <c r="Q698" s="248"/>
      <c r="R698" s="248"/>
      <c r="S698" s="248"/>
      <c r="T698" s="248"/>
      <c r="U698" s="248"/>
      <c r="V698" s="248"/>
      <c r="W698" s="248"/>
      <c r="X698" s="248"/>
      <c r="Y698" s="248"/>
      <c r="Z698" s="248"/>
      <c r="AA698" s="248"/>
      <c r="AB698" s="248"/>
    </row>
    <row r="699" spans="2:28" ht="15.75">
      <c r="B699" s="248"/>
      <c r="C699" s="248"/>
      <c r="D699" s="248"/>
      <c r="E699" s="248"/>
      <c r="F699" s="248"/>
      <c r="G699" s="248"/>
      <c r="H699" s="248"/>
      <c r="I699" s="248"/>
      <c r="J699" s="248"/>
      <c r="K699" s="248"/>
      <c r="L699" s="248"/>
      <c r="M699" s="248"/>
      <c r="N699" s="248"/>
      <c r="O699" s="248"/>
      <c r="P699" s="248"/>
      <c r="Q699" s="248"/>
      <c r="R699" s="248"/>
      <c r="S699" s="248"/>
      <c r="T699" s="248"/>
      <c r="U699" s="248"/>
      <c r="V699" s="248"/>
      <c r="W699" s="248"/>
      <c r="X699" s="248"/>
      <c r="Y699" s="248"/>
      <c r="Z699" s="248"/>
      <c r="AA699" s="248"/>
      <c r="AB699" s="248"/>
    </row>
    <row r="700" spans="2:28" ht="15.75">
      <c r="B700" s="248"/>
      <c r="C700" s="248"/>
      <c r="D700" s="248"/>
      <c r="E700" s="248"/>
      <c r="F700" s="248"/>
      <c r="G700" s="248"/>
      <c r="H700" s="248"/>
      <c r="I700" s="248"/>
      <c r="J700" s="248"/>
      <c r="K700" s="248"/>
      <c r="L700" s="248"/>
      <c r="M700" s="248"/>
      <c r="N700" s="248"/>
      <c r="O700" s="248"/>
      <c r="P700" s="248"/>
      <c r="Q700" s="248"/>
      <c r="R700" s="248"/>
      <c r="S700" s="248"/>
      <c r="T700" s="248"/>
      <c r="U700" s="248"/>
      <c r="V700" s="248"/>
      <c r="W700" s="248"/>
      <c r="X700" s="248"/>
      <c r="Y700" s="248"/>
      <c r="Z700" s="248"/>
      <c r="AA700" s="248"/>
      <c r="AB700" s="248"/>
    </row>
    <row r="701" spans="2:28" ht="15.75">
      <c r="B701" s="248"/>
      <c r="C701" s="248"/>
      <c r="D701" s="248"/>
      <c r="E701" s="248"/>
      <c r="F701" s="248"/>
      <c r="G701" s="248"/>
      <c r="H701" s="248"/>
      <c r="I701" s="248"/>
      <c r="J701" s="248"/>
      <c r="K701" s="248"/>
      <c r="L701" s="248"/>
      <c r="M701" s="248"/>
      <c r="N701" s="248"/>
      <c r="O701" s="248"/>
      <c r="P701" s="248"/>
      <c r="Q701" s="248"/>
      <c r="R701" s="248"/>
      <c r="S701" s="248"/>
      <c r="T701" s="248"/>
      <c r="U701" s="248"/>
      <c r="V701" s="248"/>
      <c r="W701" s="248"/>
      <c r="X701" s="248"/>
      <c r="Y701" s="248"/>
      <c r="Z701" s="248"/>
      <c r="AA701" s="248"/>
      <c r="AB701" s="248"/>
    </row>
    <row r="702" spans="2:28" ht="15.75">
      <c r="B702" s="248"/>
      <c r="C702" s="248"/>
      <c r="D702" s="248"/>
      <c r="E702" s="248"/>
      <c r="F702" s="248"/>
      <c r="G702" s="248"/>
      <c r="H702" s="248"/>
      <c r="I702" s="248"/>
      <c r="J702" s="248"/>
      <c r="K702" s="248"/>
      <c r="L702" s="248"/>
      <c r="M702" s="248"/>
      <c r="N702" s="248"/>
      <c r="O702" s="248"/>
      <c r="P702" s="248"/>
      <c r="Q702" s="248"/>
      <c r="R702" s="248"/>
      <c r="S702" s="248"/>
      <c r="T702" s="248"/>
      <c r="U702" s="248"/>
      <c r="V702" s="248"/>
      <c r="W702" s="248"/>
      <c r="X702" s="248"/>
      <c r="Y702" s="248"/>
      <c r="Z702" s="248"/>
      <c r="AA702" s="248"/>
      <c r="AB702" s="248"/>
    </row>
    <row r="703" spans="2:28" ht="15.75">
      <c r="B703" s="248"/>
      <c r="C703" s="248"/>
      <c r="D703" s="248"/>
      <c r="E703" s="248"/>
      <c r="F703" s="248"/>
      <c r="G703" s="248"/>
      <c r="H703" s="248"/>
      <c r="I703" s="248"/>
      <c r="J703" s="248"/>
      <c r="K703" s="248"/>
      <c r="L703" s="248"/>
      <c r="M703" s="248"/>
      <c r="N703" s="248"/>
      <c r="O703" s="248"/>
      <c r="P703" s="248"/>
      <c r="Q703" s="248"/>
      <c r="R703" s="248"/>
      <c r="S703" s="248"/>
      <c r="T703" s="248"/>
      <c r="U703" s="248"/>
      <c r="V703" s="248"/>
      <c r="W703" s="248"/>
      <c r="X703" s="248"/>
      <c r="Y703" s="248"/>
      <c r="Z703" s="248"/>
      <c r="AA703" s="248"/>
      <c r="AB703" s="248"/>
    </row>
    <row r="704" spans="2:28" ht="15.75">
      <c r="B704" s="248"/>
      <c r="C704" s="248"/>
      <c r="D704" s="248"/>
      <c r="E704" s="248"/>
      <c r="F704" s="248"/>
      <c r="G704" s="248"/>
      <c r="H704" s="248"/>
      <c r="I704" s="248"/>
      <c r="J704" s="248"/>
      <c r="K704" s="248"/>
      <c r="L704" s="248"/>
      <c r="M704" s="248"/>
      <c r="N704" s="248"/>
      <c r="O704" s="248"/>
      <c r="P704" s="248"/>
      <c r="Q704" s="248"/>
      <c r="R704" s="248"/>
      <c r="S704" s="248"/>
      <c r="T704" s="248"/>
      <c r="U704" s="248"/>
      <c r="V704" s="248"/>
      <c r="W704" s="248"/>
      <c r="X704" s="248"/>
      <c r="Y704" s="248"/>
      <c r="Z704" s="248"/>
      <c r="AA704" s="248"/>
      <c r="AB704" s="248"/>
    </row>
    <row r="705" spans="2:28" ht="15.75">
      <c r="B705" s="248"/>
      <c r="C705" s="248"/>
      <c r="D705" s="248"/>
      <c r="E705" s="248"/>
      <c r="F705" s="248"/>
      <c r="G705" s="248"/>
      <c r="H705" s="248"/>
      <c r="I705" s="248"/>
      <c r="J705" s="248"/>
      <c r="K705" s="248"/>
      <c r="L705" s="248"/>
      <c r="M705" s="248"/>
      <c r="N705" s="248"/>
      <c r="O705" s="248"/>
      <c r="P705" s="248"/>
      <c r="Q705" s="248"/>
      <c r="R705" s="248"/>
      <c r="S705" s="248"/>
      <c r="T705" s="248"/>
      <c r="U705" s="248"/>
      <c r="V705" s="248"/>
      <c r="W705" s="248"/>
      <c r="X705" s="248"/>
      <c r="Y705" s="248"/>
      <c r="Z705" s="248"/>
      <c r="AA705" s="248"/>
      <c r="AB705" s="248"/>
    </row>
    <row r="706" spans="2:28" ht="15.75">
      <c r="B706" s="248"/>
      <c r="C706" s="248"/>
      <c r="D706" s="248"/>
      <c r="E706" s="248"/>
      <c r="F706" s="248"/>
      <c r="G706" s="248"/>
      <c r="H706" s="248"/>
      <c r="I706" s="248"/>
      <c r="J706" s="248"/>
      <c r="K706" s="248"/>
      <c r="L706" s="248"/>
      <c r="M706" s="248"/>
      <c r="N706" s="248"/>
      <c r="O706" s="248"/>
      <c r="P706" s="248"/>
      <c r="Q706" s="248"/>
      <c r="R706" s="248"/>
      <c r="S706" s="248"/>
      <c r="T706" s="248"/>
      <c r="U706" s="248"/>
      <c r="V706" s="248"/>
      <c r="W706" s="248"/>
      <c r="X706" s="248"/>
      <c r="Y706" s="248"/>
      <c r="Z706" s="248"/>
      <c r="AA706" s="248"/>
      <c r="AB706" s="248"/>
    </row>
    <row r="707" spans="2:28" ht="15.75">
      <c r="B707" s="248"/>
      <c r="C707" s="248"/>
      <c r="D707" s="248"/>
      <c r="E707" s="248"/>
      <c r="F707" s="248"/>
      <c r="G707" s="248"/>
      <c r="H707" s="248"/>
      <c r="I707" s="248"/>
      <c r="J707" s="248"/>
      <c r="K707" s="248"/>
      <c r="L707" s="248"/>
      <c r="M707" s="248"/>
      <c r="N707" s="248"/>
      <c r="O707" s="248"/>
      <c r="P707" s="248"/>
      <c r="Q707" s="248"/>
      <c r="R707" s="248"/>
      <c r="S707" s="248"/>
      <c r="T707" s="248"/>
      <c r="U707" s="248"/>
      <c r="V707" s="248"/>
      <c r="W707" s="248"/>
      <c r="X707" s="248"/>
      <c r="Y707" s="248"/>
      <c r="Z707" s="248"/>
      <c r="AA707" s="248"/>
      <c r="AB707" s="248"/>
    </row>
    <row r="708" spans="2:28" ht="15.75">
      <c r="B708" s="248"/>
      <c r="C708" s="248"/>
      <c r="D708" s="248"/>
      <c r="E708" s="248"/>
      <c r="F708" s="248"/>
      <c r="G708" s="248"/>
      <c r="H708" s="248"/>
      <c r="I708" s="248"/>
      <c r="J708" s="248"/>
      <c r="K708" s="248"/>
      <c r="L708" s="248"/>
      <c r="M708" s="248"/>
      <c r="N708" s="248"/>
      <c r="O708" s="248"/>
      <c r="P708" s="248"/>
      <c r="Q708" s="248"/>
      <c r="R708" s="248"/>
      <c r="S708" s="248"/>
      <c r="T708" s="248"/>
      <c r="U708" s="248"/>
      <c r="V708" s="248"/>
      <c r="W708" s="248"/>
      <c r="X708" s="248"/>
      <c r="Y708" s="248"/>
      <c r="Z708" s="248"/>
      <c r="AA708" s="248"/>
      <c r="AB708" s="248"/>
    </row>
    <row r="709" spans="2:28" ht="15.75">
      <c r="B709" s="248"/>
      <c r="C709" s="248"/>
      <c r="D709" s="248"/>
      <c r="E709" s="248"/>
      <c r="F709" s="248"/>
      <c r="G709" s="248"/>
      <c r="H709" s="248"/>
      <c r="I709" s="248"/>
      <c r="J709" s="248"/>
      <c r="K709" s="248"/>
      <c r="L709" s="248"/>
      <c r="M709" s="248"/>
      <c r="N709" s="248"/>
      <c r="O709" s="248"/>
      <c r="P709" s="248"/>
      <c r="Q709" s="248"/>
      <c r="R709" s="248"/>
      <c r="S709" s="248"/>
      <c r="T709" s="248"/>
      <c r="U709" s="248"/>
      <c r="V709" s="248"/>
      <c r="W709" s="248"/>
      <c r="X709" s="248"/>
      <c r="Y709" s="248"/>
      <c r="Z709" s="248"/>
      <c r="AA709" s="248"/>
      <c r="AB709" s="248"/>
    </row>
    <row r="710" spans="2:28" ht="15.75">
      <c r="B710" s="248"/>
      <c r="C710" s="248"/>
      <c r="D710" s="248"/>
      <c r="E710" s="248"/>
      <c r="F710" s="248"/>
      <c r="G710" s="248"/>
      <c r="H710" s="248"/>
      <c r="I710" s="248"/>
      <c r="J710" s="248"/>
      <c r="K710" s="248"/>
      <c r="L710" s="248"/>
      <c r="M710" s="248"/>
      <c r="N710" s="248"/>
      <c r="O710" s="248"/>
      <c r="P710" s="248"/>
      <c r="Q710" s="248"/>
      <c r="R710" s="248"/>
      <c r="S710" s="248"/>
      <c r="T710" s="248"/>
      <c r="U710" s="248"/>
      <c r="V710" s="248"/>
      <c r="W710" s="248"/>
      <c r="X710" s="248"/>
      <c r="Y710" s="248"/>
      <c r="Z710" s="248"/>
      <c r="AA710" s="248"/>
      <c r="AB710" s="248"/>
    </row>
    <row r="711" spans="2:28" ht="15.75">
      <c r="B711" s="248"/>
      <c r="C711" s="248"/>
      <c r="D711" s="248"/>
      <c r="E711" s="248"/>
      <c r="F711" s="248"/>
      <c r="G711" s="248"/>
      <c r="H711" s="248"/>
      <c r="I711" s="248"/>
      <c r="J711" s="248"/>
      <c r="K711" s="248"/>
      <c r="L711" s="248"/>
      <c r="M711" s="248"/>
      <c r="N711" s="248"/>
      <c r="O711" s="248"/>
      <c r="P711" s="248"/>
      <c r="Q711" s="248"/>
      <c r="R711" s="248"/>
      <c r="S711" s="248"/>
      <c r="T711" s="248"/>
      <c r="U711" s="248"/>
      <c r="V711" s="248"/>
      <c r="W711" s="248"/>
      <c r="X711" s="248"/>
      <c r="Y711" s="248"/>
      <c r="Z711" s="248"/>
      <c r="AA711" s="248"/>
      <c r="AB711" s="248"/>
    </row>
    <row r="712" spans="2:28" ht="15.75">
      <c r="B712" s="248"/>
      <c r="C712" s="248"/>
      <c r="D712" s="248"/>
      <c r="E712" s="248"/>
      <c r="F712" s="248"/>
      <c r="G712" s="248"/>
      <c r="H712" s="248"/>
      <c r="I712" s="248"/>
      <c r="J712" s="248"/>
      <c r="K712" s="248"/>
      <c r="L712" s="248"/>
      <c r="M712" s="248"/>
      <c r="N712" s="248"/>
      <c r="O712" s="248"/>
      <c r="P712" s="248"/>
      <c r="Q712" s="248"/>
      <c r="R712" s="248"/>
      <c r="S712" s="248"/>
      <c r="T712" s="248"/>
      <c r="U712" s="248"/>
      <c r="V712" s="248"/>
      <c r="W712" s="248"/>
      <c r="X712" s="248"/>
      <c r="Y712" s="248"/>
      <c r="Z712" s="248"/>
      <c r="AA712" s="248"/>
      <c r="AB712" s="248"/>
    </row>
    <row r="713" spans="2:28" ht="15.75">
      <c r="B713" s="248"/>
      <c r="C713" s="248"/>
      <c r="D713" s="248"/>
      <c r="E713" s="248"/>
      <c r="F713" s="248"/>
      <c r="G713" s="248"/>
      <c r="H713" s="248"/>
      <c r="I713" s="248"/>
      <c r="J713" s="248"/>
      <c r="K713" s="248"/>
      <c r="L713" s="248"/>
      <c r="M713" s="248"/>
      <c r="N713" s="248"/>
      <c r="O713" s="248"/>
      <c r="P713" s="248"/>
      <c r="Q713" s="248"/>
      <c r="R713" s="248"/>
      <c r="S713" s="248"/>
      <c r="T713" s="248"/>
      <c r="U713" s="248"/>
      <c r="V713" s="248"/>
      <c r="W713" s="248"/>
      <c r="X713" s="248"/>
      <c r="Y713" s="248"/>
      <c r="Z713" s="248"/>
      <c r="AA713" s="248"/>
      <c r="AB713" s="248"/>
    </row>
    <row r="714" spans="2:28" ht="15.75">
      <c r="B714" s="248"/>
      <c r="C714" s="248"/>
      <c r="D714" s="248"/>
      <c r="E714" s="248"/>
      <c r="F714" s="248"/>
      <c r="G714" s="248"/>
      <c r="H714" s="248"/>
      <c r="I714" s="248"/>
      <c r="J714" s="248"/>
      <c r="K714" s="248"/>
      <c r="L714" s="248"/>
      <c r="M714" s="248"/>
      <c r="N714" s="248"/>
      <c r="O714" s="248"/>
      <c r="P714" s="248"/>
      <c r="Q714" s="248"/>
      <c r="R714" s="248"/>
      <c r="S714" s="248"/>
      <c r="T714" s="248"/>
      <c r="U714" s="248"/>
      <c r="V714" s="248"/>
      <c r="W714" s="248"/>
      <c r="X714" s="248"/>
      <c r="Y714" s="248"/>
      <c r="Z714" s="248"/>
      <c r="AA714" s="248"/>
      <c r="AB714" s="248"/>
    </row>
    <row r="715" spans="2:28" ht="15.75">
      <c r="B715" s="248"/>
      <c r="C715" s="248"/>
      <c r="D715" s="248"/>
      <c r="E715" s="248"/>
      <c r="F715" s="248"/>
      <c r="G715" s="248"/>
      <c r="H715" s="248"/>
      <c r="I715" s="248"/>
      <c r="J715" s="248"/>
      <c r="K715" s="248"/>
      <c r="L715" s="248"/>
      <c r="M715" s="248"/>
      <c r="N715" s="248"/>
      <c r="O715" s="248"/>
      <c r="P715" s="248"/>
      <c r="Q715" s="248"/>
      <c r="R715" s="248"/>
      <c r="S715" s="248"/>
      <c r="T715" s="248"/>
      <c r="U715" s="248"/>
      <c r="V715" s="248"/>
      <c r="W715" s="248"/>
      <c r="X715" s="248"/>
      <c r="Y715" s="248"/>
      <c r="Z715" s="248"/>
      <c r="AA715" s="248"/>
      <c r="AB715" s="248"/>
    </row>
    <row r="716" spans="2:28" ht="15.75">
      <c r="B716" s="248"/>
      <c r="C716" s="248"/>
      <c r="D716" s="248"/>
      <c r="E716" s="248"/>
      <c r="F716" s="248"/>
      <c r="G716" s="248"/>
      <c r="H716" s="248"/>
      <c r="I716" s="248"/>
      <c r="J716" s="248"/>
      <c r="K716" s="248"/>
      <c r="L716" s="248"/>
      <c r="M716" s="248"/>
      <c r="N716" s="248"/>
      <c r="O716" s="248"/>
      <c r="P716" s="248"/>
      <c r="Q716" s="248"/>
      <c r="R716" s="248"/>
      <c r="S716" s="248"/>
      <c r="T716" s="248"/>
      <c r="U716" s="248"/>
      <c r="V716" s="248"/>
      <c r="W716" s="248"/>
      <c r="X716" s="248"/>
      <c r="Y716" s="248"/>
      <c r="Z716" s="248"/>
      <c r="AA716" s="248"/>
      <c r="AB716" s="248"/>
    </row>
    <row r="717" spans="2:28" ht="15.75">
      <c r="B717" s="248"/>
      <c r="C717" s="248"/>
      <c r="D717" s="248"/>
      <c r="E717" s="248"/>
      <c r="F717" s="248"/>
      <c r="G717" s="248"/>
      <c r="H717" s="248"/>
      <c r="I717" s="248"/>
      <c r="J717" s="248"/>
      <c r="K717" s="248"/>
      <c r="L717" s="248"/>
      <c r="M717" s="248"/>
      <c r="N717" s="248"/>
      <c r="O717" s="248"/>
      <c r="P717" s="248"/>
      <c r="Q717" s="248"/>
      <c r="R717" s="248"/>
      <c r="S717" s="248"/>
      <c r="T717" s="248"/>
      <c r="U717" s="248"/>
      <c r="V717" s="248"/>
      <c r="W717" s="248"/>
      <c r="X717" s="248"/>
      <c r="Y717" s="248"/>
      <c r="Z717" s="248"/>
      <c r="AA717" s="248"/>
      <c r="AB717" s="248"/>
    </row>
    <row r="718" spans="2:28" ht="15.75">
      <c r="B718" s="248"/>
      <c r="C718" s="248"/>
      <c r="D718" s="248"/>
      <c r="E718" s="248"/>
      <c r="F718" s="248"/>
      <c r="G718" s="248"/>
      <c r="H718" s="248"/>
      <c r="I718" s="248"/>
      <c r="J718" s="248"/>
      <c r="K718" s="248"/>
      <c r="L718" s="248"/>
      <c r="M718" s="248"/>
      <c r="N718" s="248"/>
      <c r="O718" s="248"/>
      <c r="P718" s="248"/>
      <c r="Q718" s="248"/>
      <c r="R718" s="248"/>
      <c r="S718" s="248"/>
      <c r="T718" s="248"/>
      <c r="U718" s="248"/>
      <c r="V718" s="248"/>
      <c r="W718" s="248"/>
      <c r="X718" s="248"/>
      <c r="Y718" s="248"/>
      <c r="Z718" s="248"/>
      <c r="AA718" s="248"/>
      <c r="AB718" s="248"/>
    </row>
    <row r="719" spans="2:28" ht="15.75">
      <c r="B719" s="248"/>
      <c r="C719" s="248"/>
      <c r="D719" s="248"/>
      <c r="E719" s="248"/>
      <c r="F719" s="248"/>
      <c r="G719" s="248"/>
      <c r="H719" s="248"/>
      <c r="I719" s="248"/>
      <c r="J719" s="248"/>
      <c r="K719" s="248"/>
      <c r="L719" s="248"/>
      <c r="M719" s="248"/>
      <c r="N719" s="248"/>
      <c r="O719" s="248"/>
      <c r="P719" s="248"/>
      <c r="Q719" s="248"/>
      <c r="R719" s="248"/>
      <c r="S719" s="248"/>
      <c r="T719" s="248"/>
      <c r="U719" s="248"/>
      <c r="V719" s="248"/>
      <c r="W719" s="248"/>
      <c r="X719" s="248"/>
      <c r="Y719" s="248"/>
      <c r="Z719" s="248"/>
      <c r="AA719" s="248"/>
      <c r="AB719" s="248"/>
    </row>
    <row r="720" spans="2:28" ht="15.75">
      <c r="B720" s="248"/>
      <c r="C720" s="248"/>
      <c r="D720" s="248"/>
      <c r="E720" s="248"/>
      <c r="F720" s="248"/>
      <c r="G720" s="248"/>
      <c r="H720" s="248"/>
      <c r="I720" s="248"/>
      <c r="J720" s="248"/>
      <c r="K720" s="248"/>
      <c r="L720" s="248"/>
      <c r="M720" s="248"/>
      <c r="N720" s="248"/>
      <c r="O720" s="248"/>
      <c r="P720" s="248"/>
      <c r="Q720" s="248"/>
      <c r="R720" s="248"/>
      <c r="S720" s="248"/>
      <c r="T720" s="248"/>
      <c r="U720" s="248"/>
      <c r="V720" s="248"/>
      <c r="W720" s="248"/>
      <c r="X720" s="248"/>
      <c r="Y720" s="248"/>
      <c r="Z720" s="248"/>
      <c r="AA720" s="248"/>
      <c r="AB720" s="248"/>
    </row>
    <row r="721" spans="2:28" ht="15.75">
      <c r="B721" s="248"/>
      <c r="C721" s="248"/>
      <c r="D721" s="248"/>
      <c r="E721" s="248"/>
      <c r="F721" s="248"/>
      <c r="G721" s="248"/>
      <c r="H721" s="248"/>
      <c r="I721" s="248"/>
      <c r="J721" s="248"/>
      <c r="K721" s="248"/>
      <c r="L721" s="248"/>
      <c r="M721" s="248"/>
      <c r="N721" s="248"/>
      <c r="O721" s="248"/>
      <c r="P721" s="248"/>
      <c r="Q721" s="248"/>
      <c r="R721" s="248"/>
      <c r="S721" s="248"/>
      <c r="T721" s="248"/>
      <c r="U721" s="248"/>
      <c r="V721" s="248"/>
      <c r="W721" s="248"/>
      <c r="X721" s="248"/>
      <c r="Y721" s="248"/>
      <c r="Z721" s="248"/>
      <c r="AA721" s="248"/>
      <c r="AB721" s="248"/>
    </row>
    <row r="722" spans="2:28" ht="15.75">
      <c r="B722" s="248"/>
      <c r="C722" s="248"/>
      <c r="D722" s="248"/>
      <c r="E722" s="248"/>
      <c r="F722" s="248"/>
      <c r="G722" s="248"/>
      <c r="H722" s="248"/>
      <c r="I722" s="248"/>
      <c r="J722" s="248"/>
      <c r="K722" s="248"/>
      <c r="L722" s="248"/>
      <c r="M722" s="248"/>
      <c r="N722" s="248"/>
      <c r="O722" s="248"/>
      <c r="P722" s="248"/>
      <c r="Q722" s="248"/>
      <c r="R722" s="248"/>
      <c r="S722" s="248"/>
      <c r="T722" s="248"/>
      <c r="U722" s="248"/>
      <c r="V722" s="248"/>
      <c r="W722" s="248"/>
      <c r="X722" s="248"/>
      <c r="Y722" s="248"/>
      <c r="Z722" s="248"/>
      <c r="AA722" s="248"/>
      <c r="AB722" s="248"/>
    </row>
    <row r="723" spans="2:28" ht="15.75">
      <c r="B723" s="248"/>
      <c r="C723" s="248"/>
      <c r="D723" s="248"/>
      <c r="E723" s="248"/>
      <c r="F723" s="248"/>
      <c r="G723" s="248"/>
      <c r="H723" s="248"/>
      <c r="I723" s="248"/>
      <c r="J723" s="248"/>
      <c r="K723" s="248"/>
      <c r="L723" s="248"/>
      <c r="M723" s="248"/>
      <c r="N723" s="248"/>
      <c r="O723" s="248"/>
      <c r="P723" s="248"/>
      <c r="Q723" s="248"/>
      <c r="R723" s="248"/>
      <c r="S723" s="248"/>
      <c r="T723" s="248"/>
      <c r="U723" s="248"/>
      <c r="V723" s="248"/>
      <c r="W723" s="248"/>
      <c r="X723" s="248"/>
      <c r="Y723" s="248"/>
      <c r="Z723" s="248"/>
      <c r="AA723" s="248"/>
      <c r="AB723" s="248"/>
    </row>
    <row r="724" spans="2:28" ht="15.75">
      <c r="B724" s="248"/>
      <c r="C724" s="248"/>
      <c r="D724" s="248"/>
      <c r="E724" s="248"/>
      <c r="F724" s="248"/>
      <c r="G724" s="248"/>
      <c r="H724" s="248"/>
      <c r="I724" s="248"/>
      <c r="J724" s="248"/>
      <c r="K724" s="248"/>
      <c r="L724" s="248"/>
      <c r="M724" s="248"/>
      <c r="N724" s="248"/>
      <c r="O724" s="248"/>
      <c r="P724" s="248"/>
      <c r="Q724" s="248"/>
      <c r="R724" s="248"/>
      <c r="S724" s="248"/>
      <c r="T724" s="248"/>
      <c r="U724" s="248"/>
      <c r="V724" s="248"/>
      <c r="W724" s="248"/>
      <c r="X724" s="248"/>
      <c r="Y724" s="248"/>
      <c r="Z724" s="248"/>
      <c r="AA724" s="248"/>
      <c r="AB724" s="248"/>
    </row>
    <row r="725" spans="2:28" ht="15.75">
      <c r="B725" s="248"/>
      <c r="C725" s="248"/>
      <c r="D725" s="248"/>
      <c r="E725" s="248"/>
      <c r="F725" s="248"/>
      <c r="G725" s="248"/>
      <c r="H725" s="248"/>
      <c r="I725" s="248"/>
      <c r="J725" s="248"/>
      <c r="K725" s="248"/>
      <c r="L725" s="248"/>
      <c r="M725" s="248"/>
      <c r="N725" s="248"/>
      <c r="O725" s="248"/>
      <c r="P725" s="248"/>
      <c r="Q725" s="248"/>
      <c r="R725" s="248"/>
      <c r="S725" s="248"/>
      <c r="T725" s="248"/>
      <c r="U725" s="248"/>
      <c r="V725" s="248"/>
      <c r="W725" s="248"/>
      <c r="X725" s="248"/>
      <c r="Y725" s="248"/>
      <c r="Z725" s="248"/>
      <c r="AA725" s="248"/>
      <c r="AB725" s="248"/>
    </row>
    <row r="726" spans="2:28" ht="15.75">
      <c r="B726" s="248"/>
      <c r="C726" s="248"/>
      <c r="D726" s="248"/>
      <c r="E726" s="248"/>
      <c r="F726" s="248"/>
      <c r="G726" s="248"/>
      <c r="H726" s="248"/>
      <c r="I726" s="248"/>
      <c r="J726" s="248"/>
      <c r="K726" s="248"/>
      <c r="L726" s="248"/>
      <c r="M726" s="248"/>
      <c r="N726" s="248"/>
      <c r="O726" s="248"/>
      <c r="P726" s="248"/>
      <c r="Q726" s="248"/>
      <c r="R726" s="248"/>
      <c r="S726" s="248"/>
      <c r="T726" s="248"/>
      <c r="U726" s="248"/>
      <c r="V726" s="248"/>
      <c r="W726" s="248"/>
      <c r="X726" s="248"/>
      <c r="Y726" s="248"/>
      <c r="Z726" s="248"/>
      <c r="AA726" s="248"/>
      <c r="AB726" s="248"/>
    </row>
    <row r="727" spans="2:28" ht="15.75">
      <c r="B727" s="248"/>
      <c r="C727" s="248"/>
      <c r="D727" s="248"/>
      <c r="E727" s="248"/>
      <c r="F727" s="248"/>
      <c r="G727" s="248"/>
      <c r="H727" s="248"/>
      <c r="I727" s="248"/>
      <c r="J727" s="248"/>
      <c r="K727" s="248"/>
      <c r="L727" s="248"/>
      <c r="M727" s="248"/>
      <c r="N727" s="248"/>
      <c r="O727" s="248"/>
      <c r="P727" s="248"/>
      <c r="Q727" s="248"/>
      <c r="R727" s="248"/>
      <c r="S727" s="248"/>
      <c r="T727" s="248"/>
      <c r="U727" s="248"/>
      <c r="V727" s="248"/>
      <c r="W727" s="248"/>
      <c r="X727" s="248"/>
      <c r="Y727" s="248"/>
      <c r="Z727" s="248"/>
      <c r="AA727" s="248"/>
      <c r="AB727" s="248"/>
    </row>
    <row r="728" spans="2:28" ht="15.75">
      <c r="B728" s="248"/>
      <c r="C728" s="248"/>
      <c r="D728" s="248"/>
      <c r="E728" s="248"/>
      <c r="F728" s="248"/>
      <c r="G728" s="248"/>
      <c r="H728" s="248"/>
      <c r="I728" s="248"/>
      <c r="J728" s="248"/>
      <c r="K728" s="248"/>
      <c r="L728" s="248"/>
      <c r="M728" s="248"/>
      <c r="N728" s="248"/>
      <c r="O728" s="248"/>
      <c r="P728" s="248"/>
      <c r="Q728" s="248"/>
      <c r="R728" s="248"/>
      <c r="S728" s="248"/>
      <c r="T728" s="248"/>
      <c r="U728" s="248"/>
      <c r="V728" s="248"/>
      <c r="W728" s="248"/>
      <c r="X728" s="248"/>
      <c r="Y728" s="248"/>
      <c r="Z728" s="248"/>
      <c r="AA728" s="248"/>
      <c r="AB728" s="248"/>
    </row>
    <row r="729" spans="2:28" ht="15.75">
      <c r="B729" s="248"/>
      <c r="C729" s="248"/>
      <c r="D729" s="248"/>
      <c r="E729" s="248"/>
      <c r="F729" s="248"/>
      <c r="G729" s="248"/>
      <c r="H729" s="248"/>
      <c r="I729" s="248"/>
      <c r="J729" s="248"/>
      <c r="K729" s="248"/>
      <c r="L729" s="248"/>
      <c r="M729" s="248"/>
      <c r="N729" s="248"/>
      <c r="O729" s="248"/>
      <c r="P729" s="248"/>
      <c r="Q729" s="248"/>
      <c r="R729" s="248"/>
      <c r="S729" s="248"/>
      <c r="T729" s="248"/>
      <c r="U729" s="248"/>
      <c r="V729" s="248"/>
      <c r="W729" s="248"/>
      <c r="X729" s="248"/>
      <c r="Y729" s="248"/>
      <c r="Z729" s="248"/>
      <c r="AA729" s="248"/>
      <c r="AB729" s="248"/>
    </row>
    <row r="730" spans="2:28" ht="15.75">
      <c r="B730" s="248"/>
      <c r="C730" s="248"/>
      <c r="D730" s="248"/>
      <c r="E730" s="248"/>
      <c r="F730" s="248"/>
      <c r="G730" s="248"/>
      <c r="H730" s="248"/>
      <c r="I730" s="248"/>
      <c r="J730" s="248"/>
      <c r="K730" s="248"/>
      <c r="L730" s="248"/>
      <c r="M730" s="248"/>
      <c r="N730" s="248"/>
      <c r="O730" s="248"/>
      <c r="P730" s="248"/>
      <c r="Q730" s="248"/>
      <c r="R730" s="248"/>
      <c r="S730" s="248"/>
      <c r="T730" s="248"/>
      <c r="U730" s="248"/>
      <c r="V730" s="248"/>
      <c r="W730" s="248"/>
      <c r="X730" s="248"/>
      <c r="Y730" s="248"/>
      <c r="Z730" s="248"/>
      <c r="AA730" s="248"/>
      <c r="AB730" s="248"/>
    </row>
    <row r="731" spans="2:28" ht="15.75">
      <c r="B731" s="248"/>
      <c r="C731" s="248"/>
      <c r="D731" s="248"/>
      <c r="E731" s="248"/>
      <c r="F731" s="248"/>
      <c r="G731" s="248"/>
      <c r="H731" s="248"/>
      <c r="I731" s="248"/>
      <c r="J731" s="248"/>
      <c r="K731" s="248"/>
      <c r="L731" s="248"/>
      <c r="M731" s="248"/>
      <c r="N731" s="248"/>
      <c r="O731" s="248"/>
      <c r="P731" s="248"/>
      <c r="Q731" s="248"/>
      <c r="R731" s="248"/>
      <c r="S731" s="248"/>
      <c r="T731" s="248"/>
      <c r="U731" s="248"/>
      <c r="V731" s="248"/>
      <c r="W731" s="248"/>
      <c r="X731" s="248"/>
      <c r="Y731" s="248"/>
      <c r="Z731" s="248"/>
      <c r="AA731" s="248"/>
      <c r="AB731" s="248"/>
    </row>
    <row r="732" spans="2:28" ht="15.75">
      <c r="B732" s="248"/>
      <c r="C732" s="248"/>
      <c r="D732" s="248"/>
      <c r="E732" s="248"/>
      <c r="F732" s="248"/>
      <c r="G732" s="248"/>
      <c r="H732" s="248"/>
      <c r="I732" s="248"/>
      <c r="J732" s="248"/>
      <c r="K732" s="248"/>
      <c r="L732" s="248"/>
      <c r="M732" s="248"/>
      <c r="N732" s="248"/>
      <c r="O732" s="248"/>
      <c r="P732" s="248"/>
      <c r="Q732" s="248"/>
      <c r="R732" s="248"/>
      <c r="S732" s="248"/>
      <c r="T732" s="248"/>
      <c r="U732" s="248"/>
      <c r="V732" s="248"/>
      <c r="W732" s="248"/>
      <c r="X732" s="248"/>
      <c r="Y732" s="248"/>
      <c r="Z732" s="248"/>
      <c r="AA732" s="248"/>
      <c r="AB732" s="248"/>
    </row>
    <row r="733" spans="2:28" ht="15.75">
      <c r="B733" s="248"/>
      <c r="C733" s="248"/>
      <c r="D733" s="248"/>
      <c r="E733" s="248"/>
      <c r="F733" s="248"/>
      <c r="G733" s="248"/>
      <c r="H733" s="248"/>
      <c r="I733" s="248"/>
      <c r="J733" s="248"/>
      <c r="K733" s="248"/>
      <c r="L733" s="248"/>
      <c r="M733" s="248"/>
      <c r="N733" s="248"/>
      <c r="O733" s="248"/>
      <c r="P733" s="248"/>
      <c r="Q733" s="248"/>
      <c r="R733" s="248"/>
      <c r="S733" s="248"/>
      <c r="T733" s="248"/>
      <c r="U733" s="248"/>
      <c r="V733" s="248"/>
      <c r="W733" s="248"/>
      <c r="X733" s="248"/>
      <c r="Y733" s="248"/>
      <c r="Z733" s="248"/>
      <c r="AA733" s="248"/>
      <c r="AB733" s="248"/>
    </row>
    <row r="734" spans="2:28" ht="15.75">
      <c r="B734" s="248"/>
      <c r="C734" s="248"/>
      <c r="D734" s="248"/>
      <c r="E734" s="248"/>
      <c r="F734" s="248"/>
      <c r="G734" s="248"/>
      <c r="H734" s="248"/>
      <c r="I734" s="248"/>
      <c r="J734" s="248"/>
      <c r="K734" s="248"/>
      <c r="L734" s="248"/>
      <c r="M734" s="248"/>
      <c r="N734" s="248"/>
      <c r="O734" s="248"/>
      <c r="P734" s="248"/>
      <c r="Q734" s="248"/>
      <c r="R734" s="248"/>
      <c r="S734" s="248"/>
      <c r="T734" s="248"/>
      <c r="U734" s="248"/>
      <c r="V734" s="248"/>
      <c r="W734" s="248"/>
      <c r="X734" s="248"/>
      <c r="Y734" s="248"/>
      <c r="Z734" s="248"/>
      <c r="AA734" s="248"/>
      <c r="AB734" s="248"/>
    </row>
    <row r="735" spans="2:28" ht="15.75">
      <c r="B735" s="248"/>
      <c r="C735" s="248"/>
      <c r="D735" s="248"/>
      <c r="E735" s="248"/>
      <c r="F735" s="248"/>
      <c r="G735" s="248"/>
      <c r="H735" s="248"/>
      <c r="I735" s="248"/>
      <c r="J735" s="248"/>
      <c r="K735" s="248"/>
      <c r="L735" s="248"/>
      <c r="M735" s="248"/>
      <c r="N735" s="248"/>
      <c r="O735" s="248"/>
      <c r="P735" s="248"/>
      <c r="Q735" s="248"/>
      <c r="R735" s="248"/>
      <c r="S735" s="248"/>
      <c r="T735" s="248"/>
      <c r="U735" s="248"/>
      <c r="V735" s="248"/>
      <c r="W735" s="248"/>
      <c r="X735" s="248"/>
      <c r="Y735" s="248"/>
      <c r="Z735" s="248"/>
      <c r="AA735" s="248"/>
      <c r="AB735" s="248"/>
    </row>
    <row r="736" spans="2:28" ht="15.75">
      <c r="B736" s="248"/>
      <c r="C736" s="248"/>
      <c r="D736" s="248"/>
      <c r="E736" s="248"/>
      <c r="F736" s="248"/>
      <c r="G736" s="248"/>
      <c r="H736" s="248"/>
      <c r="I736" s="248"/>
      <c r="J736" s="248"/>
      <c r="K736" s="248"/>
      <c r="L736" s="248"/>
      <c r="M736" s="248"/>
      <c r="N736" s="248"/>
      <c r="O736" s="248"/>
      <c r="P736" s="248"/>
      <c r="Q736" s="248"/>
      <c r="R736" s="248"/>
      <c r="S736" s="248"/>
      <c r="T736" s="248"/>
      <c r="U736" s="248"/>
      <c r="V736" s="248"/>
      <c r="W736" s="248"/>
      <c r="X736" s="248"/>
      <c r="Y736" s="248"/>
      <c r="Z736" s="248"/>
      <c r="AA736" s="248"/>
      <c r="AB736" s="248"/>
    </row>
    <row r="737" spans="2:28" ht="15.75">
      <c r="B737" s="248"/>
      <c r="C737" s="248"/>
      <c r="D737" s="248"/>
      <c r="E737" s="248"/>
      <c r="F737" s="248"/>
      <c r="G737" s="248"/>
      <c r="H737" s="248"/>
      <c r="I737" s="248"/>
      <c r="J737" s="248"/>
      <c r="K737" s="248"/>
      <c r="L737" s="248"/>
      <c r="M737" s="248"/>
      <c r="N737" s="248"/>
      <c r="O737" s="248"/>
      <c r="P737" s="248"/>
      <c r="Q737" s="248"/>
      <c r="R737" s="248"/>
      <c r="S737" s="248"/>
      <c r="T737" s="248"/>
      <c r="U737" s="248"/>
      <c r="V737" s="248"/>
      <c r="W737" s="248"/>
      <c r="X737" s="248"/>
      <c r="Y737" s="248"/>
      <c r="Z737" s="248"/>
      <c r="AA737" s="248"/>
      <c r="AB737" s="248"/>
    </row>
    <row r="738" spans="2:28" ht="15.75">
      <c r="B738" s="248"/>
      <c r="C738" s="248"/>
      <c r="D738" s="248"/>
      <c r="E738" s="248"/>
      <c r="F738" s="248"/>
      <c r="G738" s="248"/>
      <c r="H738" s="248"/>
      <c r="I738" s="248"/>
      <c r="J738" s="248"/>
      <c r="K738" s="248"/>
      <c r="L738" s="248"/>
      <c r="M738" s="248"/>
      <c r="N738" s="248"/>
      <c r="O738" s="248"/>
      <c r="P738" s="248"/>
      <c r="Q738" s="248"/>
      <c r="R738" s="248"/>
      <c r="S738" s="248"/>
      <c r="T738" s="248"/>
      <c r="U738" s="248"/>
      <c r="V738" s="248"/>
      <c r="W738" s="248"/>
      <c r="X738" s="248"/>
      <c r="Y738" s="248"/>
      <c r="Z738" s="248"/>
      <c r="AA738" s="248"/>
      <c r="AB738" s="248"/>
    </row>
    <row r="739" spans="2:28" ht="15.75">
      <c r="B739" s="248"/>
      <c r="C739" s="248"/>
      <c r="D739" s="248"/>
      <c r="E739" s="248"/>
      <c r="F739" s="248"/>
      <c r="G739" s="248"/>
      <c r="H739" s="248"/>
      <c r="I739" s="248"/>
      <c r="J739" s="248"/>
      <c r="K739" s="248"/>
      <c r="L739" s="248"/>
      <c r="M739" s="248"/>
      <c r="N739" s="248"/>
      <c r="O739" s="248"/>
      <c r="P739" s="248"/>
      <c r="Q739" s="248"/>
      <c r="R739" s="248"/>
      <c r="S739" s="248"/>
      <c r="T739" s="248"/>
      <c r="U739" s="248"/>
      <c r="V739" s="248"/>
      <c r="W739" s="248"/>
      <c r="X739" s="248"/>
      <c r="Y739" s="248"/>
      <c r="Z739" s="248"/>
      <c r="AA739" s="248"/>
      <c r="AB739" s="248"/>
    </row>
    <row r="740" spans="2:28" ht="15.75">
      <c r="B740" s="248"/>
      <c r="C740" s="248"/>
      <c r="D740" s="248"/>
      <c r="E740" s="248"/>
      <c r="F740" s="248"/>
      <c r="G740" s="248"/>
      <c r="H740" s="248"/>
      <c r="I740" s="248"/>
      <c r="J740" s="248"/>
      <c r="K740" s="248"/>
      <c r="L740" s="248"/>
      <c r="M740" s="248"/>
      <c r="N740" s="248"/>
      <c r="O740" s="248"/>
      <c r="P740" s="248"/>
      <c r="Q740" s="248"/>
      <c r="R740" s="248"/>
      <c r="S740" s="248"/>
      <c r="T740" s="248"/>
      <c r="U740" s="248"/>
      <c r="V740" s="248"/>
      <c r="W740" s="248"/>
      <c r="X740" s="248"/>
      <c r="Y740" s="248"/>
      <c r="Z740" s="248"/>
      <c r="AA740" s="248"/>
      <c r="AB740" s="248"/>
    </row>
    <row r="741" spans="2:28" ht="15.75">
      <c r="B741" s="248"/>
      <c r="C741" s="248"/>
      <c r="D741" s="248"/>
      <c r="E741" s="248"/>
      <c r="F741" s="248"/>
      <c r="G741" s="248"/>
      <c r="H741" s="248"/>
      <c r="I741" s="248"/>
      <c r="J741" s="248"/>
      <c r="K741" s="248"/>
      <c r="L741" s="248"/>
      <c r="M741" s="248"/>
      <c r="N741" s="248"/>
      <c r="O741" s="248"/>
      <c r="P741" s="248"/>
      <c r="Q741" s="248"/>
      <c r="R741" s="248"/>
      <c r="S741" s="248"/>
      <c r="T741" s="248"/>
      <c r="U741" s="248"/>
      <c r="V741" s="248"/>
      <c r="W741" s="248"/>
      <c r="X741" s="248"/>
      <c r="Y741" s="248"/>
      <c r="Z741" s="248"/>
      <c r="AA741" s="248"/>
      <c r="AB741" s="248"/>
    </row>
    <row r="742" spans="2:28" ht="15.75">
      <c r="B742" s="248"/>
      <c r="C742" s="248"/>
      <c r="D742" s="248"/>
      <c r="E742" s="248"/>
      <c r="F742" s="248"/>
      <c r="G742" s="248"/>
      <c r="H742" s="248"/>
      <c r="I742" s="248"/>
      <c r="J742" s="248"/>
      <c r="K742" s="248"/>
      <c r="L742" s="248"/>
      <c r="M742" s="248"/>
      <c r="N742" s="248"/>
      <c r="O742" s="248"/>
      <c r="P742" s="248"/>
      <c r="Q742" s="248"/>
      <c r="R742" s="248"/>
      <c r="S742" s="248"/>
      <c r="T742" s="248"/>
      <c r="U742" s="248"/>
      <c r="V742" s="248"/>
      <c r="W742" s="248"/>
      <c r="X742" s="248"/>
      <c r="Y742" s="248"/>
      <c r="Z742" s="248"/>
      <c r="AA742" s="248"/>
      <c r="AB742" s="248"/>
    </row>
    <row r="743" spans="2:28" ht="15.75">
      <c r="B743" s="248"/>
      <c r="C743" s="248"/>
      <c r="D743" s="248"/>
      <c r="E743" s="248"/>
      <c r="F743" s="248"/>
      <c r="G743" s="248"/>
      <c r="H743" s="248"/>
      <c r="I743" s="248"/>
      <c r="J743" s="248"/>
      <c r="K743" s="248"/>
      <c r="L743" s="248"/>
      <c r="M743" s="248"/>
      <c r="N743" s="248"/>
      <c r="O743" s="248"/>
      <c r="P743" s="248"/>
      <c r="Q743" s="248"/>
      <c r="R743" s="248"/>
      <c r="S743" s="248"/>
      <c r="T743" s="248"/>
      <c r="U743" s="248"/>
      <c r="V743" s="248"/>
      <c r="W743" s="248"/>
      <c r="X743" s="248"/>
      <c r="Y743" s="248"/>
      <c r="Z743" s="248"/>
      <c r="AA743" s="248"/>
      <c r="AB743" s="248"/>
    </row>
    <row r="744" spans="2:28" ht="15.75">
      <c r="B744" s="248"/>
      <c r="C744" s="248"/>
      <c r="D744" s="248"/>
      <c r="E744" s="248"/>
      <c r="F744" s="248"/>
      <c r="G744" s="248"/>
      <c r="H744" s="248"/>
      <c r="I744" s="248"/>
      <c r="J744" s="248"/>
      <c r="K744" s="248"/>
      <c r="L744" s="248"/>
      <c r="M744" s="248"/>
      <c r="N744" s="248"/>
      <c r="O744" s="248"/>
      <c r="P744" s="248"/>
      <c r="Q744" s="248"/>
      <c r="R744" s="248"/>
      <c r="S744" s="248"/>
      <c r="T744" s="248"/>
      <c r="U744" s="248"/>
      <c r="V744" s="248"/>
      <c r="W744" s="248"/>
      <c r="X744" s="248"/>
      <c r="Y744" s="248"/>
      <c r="Z744" s="248"/>
      <c r="AA744" s="248"/>
      <c r="AB744" s="248"/>
    </row>
    <row r="745" spans="2:28" ht="15.75">
      <c r="B745" s="248"/>
      <c r="C745" s="248"/>
      <c r="D745" s="248"/>
      <c r="E745" s="248"/>
      <c r="F745" s="248"/>
      <c r="G745" s="248"/>
      <c r="H745" s="248"/>
      <c r="I745" s="248"/>
      <c r="J745" s="248"/>
      <c r="K745" s="248"/>
      <c r="L745" s="248"/>
      <c r="M745" s="248"/>
      <c r="N745" s="248"/>
      <c r="O745" s="248"/>
      <c r="P745" s="248"/>
      <c r="Q745" s="248"/>
      <c r="R745" s="248"/>
      <c r="S745" s="248"/>
      <c r="T745" s="248"/>
      <c r="U745" s="248"/>
      <c r="V745" s="248"/>
      <c r="W745" s="248"/>
      <c r="X745" s="248"/>
      <c r="Y745" s="248"/>
      <c r="Z745" s="248"/>
      <c r="AA745" s="248"/>
      <c r="AB745" s="248"/>
    </row>
  </sheetData>
  <printOptions/>
  <pageMargins left="0.25" right="0" top="0.25" bottom="0.25" header="0" footer="0"/>
  <pageSetup fitToHeight="1" fitToWidth="1" horizontalDpi="600" verticalDpi="600" orientation="landscape" paperSize="17" scale="7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5"/>
  <sheetViews>
    <sheetView workbookViewId="0" topLeftCell="A7">
      <selection activeCell="A3" sqref="A3:H68"/>
    </sheetView>
  </sheetViews>
  <sheetFormatPr defaultColWidth="9.00390625" defaultRowHeight="15.75"/>
  <cols>
    <col min="1" max="1" width="39.875" style="244" bestFit="1" customWidth="1"/>
    <col min="2" max="3" width="12.625" style="244" hidden="1" customWidth="1"/>
    <col min="4" max="4" width="12.625" style="244" bestFit="1" customWidth="1"/>
    <col min="5" max="8" width="14.125" style="244" bestFit="1" customWidth="1"/>
    <col min="9" max="22" width="12.625" style="244" bestFit="1" customWidth="1"/>
    <col min="23" max="16384" width="9.00390625" style="244" customWidth="1"/>
  </cols>
  <sheetData>
    <row r="1" ht="15.75">
      <c r="A1" s="244" t="s">
        <v>174</v>
      </c>
    </row>
    <row r="3" spans="1:22" ht="15.75">
      <c r="A3" s="255" t="s">
        <v>0</v>
      </c>
      <c r="B3" s="256">
        <v>2017</v>
      </c>
      <c r="C3" s="256">
        <f>+B3+1</f>
        <v>2018</v>
      </c>
      <c r="D3" s="256">
        <f>+C3+1</f>
        <v>2019</v>
      </c>
      <c r="E3" s="256">
        <f aca="true" t="shared" si="0" ref="E3:U3">+D3+1</f>
        <v>2020</v>
      </c>
      <c r="F3" s="256">
        <f t="shared" si="0"/>
        <v>2021</v>
      </c>
      <c r="G3" s="256">
        <f t="shared" si="0"/>
        <v>2022</v>
      </c>
      <c r="H3" s="257">
        <f t="shared" si="0"/>
        <v>2023</v>
      </c>
      <c r="I3" s="245">
        <f t="shared" si="0"/>
        <v>2024</v>
      </c>
      <c r="J3" s="245">
        <f t="shared" si="0"/>
        <v>2025</v>
      </c>
      <c r="K3" s="245">
        <f t="shared" si="0"/>
        <v>2026</v>
      </c>
      <c r="L3" s="245">
        <f t="shared" si="0"/>
        <v>2027</v>
      </c>
      <c r="M3" s="245">
        <f t="shared" si="0"/>
        <v>2028</v>
      </c>
      <c r="N3" s="245">
        <f t="shared" si="0"/>
        <v>2029</v>
      </c>
      <c r="O3" s="245">
        <f t="shared" si="0"/>
        <v>2030</v>
      </c>
      <c r="P3" s="245">
        <f t="shared" si="0"/>
        <v>2031</v>
      </c>
      <c r="Q3" s="245">
        <f t="shared" si="0"/>
        <v>2032</v>
      </c>
      <c r="R3" s="245">
        <f t="shared" si="0"/>
        <v>2033</v>
      </c>
      <c r="S3" s="245">
        <f t="shared" si="0"/>
        <v>2034</v>
      </c>
      <c r="T3" s="245">
        <f t="shared" si="0"/>
        <v>2035</v>
      </c>
      <c r="U3" s="245">
        <f t="shared" si="0"/>
        <v>2036</v>
      </c>
      <c r="V3" s="245">
        <f>+U3+1</f>
        <v>2037</v>
      </c>
    </row>
    <row r="4" spans="1:28" ht="20.25">
      <c r="A4" s="258" t="s">
        <v>401</v>
      </c>
      <c r="B4" s="259">
        <v>319567</v>
      </c>
      <c r="C4" s="259">
        <f>B66</f>
        <v>1064583</v>
      </c>
      <c r="D4" s="277">
        <f>C66</f>
        <v>2463982</v>
      </c>
      <c r="E4" s="277">
        <f aca="true" t="shared" si="1" ref="E4:V4">D66</f>
        <v>2598558.5</v>
      </c>
      <c r="F4" s="277">
        <f t="shared" si="1"/>
        <v>2511148.59</v>
      </c>
      <c r="G4" s="277">
        <f t="shared" si="1"/>
        <v>2162428.3049999997</v>
      </c>
      <c r="H4" s="278">
        <f t="shared" si="1"/>
        <v>1701218.1599999997</v>
      </c>
      <c r="I4" s="246">
        <f t="shared" si="1"/>
        <v>1221271.7999999998</v>
      </c>
      <c r="J4" s="246">
        <f t="shared" si="1"/>
        <v>1230618.9625</v>
      </c>
      <c r="K4" s="246">
        <f t="shared" si="1"/>
        <v>1240367.3024999998</v>
      </c>
      <c r="L4" s="246">
        <f t="shared" si="1"/>
        <v>1219841.9274999998</v>
      </c>
      <c r="M4" s="246">
        <f t="shared" si="1"/>
        <v>1993245.7074999998</v>
      </c>
      <c r="N4" s="246">
        <f t="shared" si="1"/>
        <v>2775584.0699999994</v>
      </c>
      <c r="O4" s="246">
        <f t="shared" si="1"/>
        <v>3633391.139999999</v>
      </c>
      <c r="P4" s="246">
        <f t="shared" si="1"/>
        <v>3915202.7849999988</v>
      </c>
      <c r="Q4" s="246">
        <f t="shared" si="1"/>
        <v>4715980.604999999</v>
      </c>
      <c r="R4" s="246">
        <f t="shared" si="1"/>
        <v>5522081.154999998</v>
      </c>
      <c r="S4" s="246">
        <f t="shared" si="1"/>
        <v>6227810.224999999</v>
      </c>
      <c r="T4" s="246">
        <f t="shared" si="1"/>
        <v>7007297.124999999</v>
      </c>
      <c r="U4" s="246">
        <f t="shared" si="1"/>
        <v>7354882.504999999</v>
      </c>
      <c r="V4" s="246">
        <f t="shared" si="1"/>
        <v>8030956.364999999</v>
      </c>
      <c r="W4" s="254"/>
      <c r="X4" s="254"/>
      <c r="Y4" s="254"/>
      <c r="Z4" s="254"/>
      <c r="AA4" s="254"/>
      <c r="AB4" s="254"/>
    </row>
    <row r="5" spans="1:8" ht="15.75">
      <c r="A5" s="261" t="s">
        <v>175</v>
      </c>
      <c r="B5" s="262"/>
      <c r="C5" s="262"/>
      <c r="D5" s="262"/>
      <c r="E5" s="262"/>
      <c r="F5" s="262"/>
      <c r="G5" s="262"/>
      <c r="H5" s="263"/>
    </row>
    <row r="6" spans="1:8" ht="15.75">
      <c r="A6" s="356" t="s">
        <v>176</v>
      </c>
      <c r="B6" s="262"/>
      <c r="C6" s="262"/>
      <c r="D6" s="262"/>
      <c r="E6" s="262"/>
      <c r="F6" s="262"/>
      <c r="G6" s="262"/>
      <c r="H6" s="263"/>
    </row>
    <row r="7" spans="1:28" ht="15.75">
      <c r="A7" s="265" t="s">
        <v>407</v>
      </c>
      <c r="B7" s="266">
        <v>194100</v>
      </c>
      <c r="C7" s="266">
        <f>ROUND(492500*0.755,-1)</f>
        <v>371840</v>
      </c>
      <c r="D7" s="138">
        <f>ROUND(461000*0.7563,-1)</f>
        <v>348650</v>
      </c>
      <c r="E7" s="138">
        <f>ROUND(477250*0.7563,-1)+10</f>
        <v>360950</v>
      </c>
      <c r="F7" s="138">
        <f>ROUND(F$63*0.7563,-1)</f>
        <v>305660</v>
      </c>
      <c r="G7" s="138">
        <f>ROUND(G$63*0.7563,-1)</f>
        <v>118180</v>
      </c>
      <c r="H7" s="139">
        <f>ROUND(H$63*0.7563,-1)</f>
        <v>473870</v>
      </c>
      <c r="I7" s="247">
        <f aca="true" t="shared" si="2" ref="I7:K7">ROUND(I$63*0.755,-1)</f>
        <v>2506640</v>
      </c>
      <c r="J7" s="247">
        <f t="shared" si="2"/>
        <v>341010</v>
      </c>
      <c r="K7" s="247">
        <f t="shared" si="2"/>
        <v>265520</v>
      </c>
      <c r="L7" s="247">
        <f>ROUND(1000000*0.755,-2)</f>
        <v>755000</v>
      </c>
      <c r="M7" s="247">
        <f aca="true" t="shared" si="3" ref="M7:V7">ROUND(1000000*0.755,-2)</f>
        <v>755000</v>
      </c>
      <c r="N7" s="247">
        <f t="shared" si="3"/>
        <v>755000</v>
      </c>
      <c r="O7" s="247">
        <f t="shared" si="3"/>
        <v>755000</v>
      </c>
      <c r="P7" s="247">
        <f t="shared" si="3"/>
        <v>755000</v>
      </c>
      <c r="Q7" s="247">
        <f t="shared" si="3"/>
        <v>755000</v>
      </c>
      <c r="R7" s="247">
        <f t="shared" si="3"/>
        <v>755000</v>
      </c>
      <c r="S7" s="247">
        <f t="shared" si="3"/>
        <v>755000</v>
      </c>
      <c r="T7" s="247">
        <f t="shared" si="3"/>
        <v>755000</v>
      </c>
      <c r="U7" s="247">
        <f t="shared" si="3"/>
        <v>755000</v>
      </c>
      <c r="V7" s="247">
        <f t="shared" si="3"/>
        <v>755000</v>
      </c>
      <c r="W7" s="247"/>
      <c r="X7" s="247"/>
      <c r="Y7" s="247"/>
      <c r="Z7" s="247"/>
      <c r="AA7" s="247"/>
      <c r="AB7" s="247"/>
    </row>
    <row r="8" spans="1:28" ht="15.75" hidden="1">
      <c r="A8" s="265" t="s">
        <v>408</v>
      </c>
      <c r="B8" s="267">
        <v>40655</v>
      </c>
      <c r="C8" s="267">
        <f>ROUND(492500*0.1625,-1)</f>
        <v>80030</v>
      </c>
      <c r="D8" s="267"/>
      <c r="E8" s="267"/>
      <c r="F8" s="267"/>
      <c r="G8" s="267"/>
      <c r="H8" s="268"/>
      <c r="I8" s="248">
        <f>ROUND(I$63*0.1625,-1)</f>
        <v>539510</v>
      </c>
      <c r="J8" s="248">
        <f>ROUND(J$63*0.1625,-1)</f>
        <v>73400</v>
      </c>
      <c r="K8" s="248">
        <f>ROUND(K$63*0.1625,-1)</f>
        <v>57150</v>
      </c>
      <c r="L8" s="248">
        <f>ROUND(1000000*0.1625,-2)</f>
        <v>162500</v>
      </c>
      <c r="M8" s="248">
        <f aca="true" t="shared" si="4" ref="M8:V8">ROUND(1000000*0.1625,-2)</f>
        <v>162500</v>
      </c>
      <c r="N8" s="248">
        <f t="shared" si="4"/>
        <v>162500</v>
      </c>
      <c r="O8" s="248">
        <f t="shared" si="4"/>
        <v>162500</v>
      </c>
      <c r="P8" s="248">
        <f t="shared" si="4"/>
        <v>162500</v>
      </c>
      <c r="Q8" s="248">
        <f t="shared" si="4"/>
        <v>162500</v>
      </c>
      <c r="R8" s="248">
        <f t="shared" si="4"/>
        <v>162500</v>
      </c>
      <c r="S8" s="248">
        <f t="shared" si="4"/>
        <v>162500</v>
      </c>
      <c r="T8" s="248">
        <f t="shared" si="4"/>
        <v>162500</v>
      </c>
      <c r="U8" s="248">
        <f t="shared" si="4"/>
        <v>162500</v>
      </c>
      <c r="V8" s="248">
        <f t="shared" si="4"/>
        <v>162500</v>
      </c>
      <c r="W8" s="248"/>
      <c r="X8" s="248"/>
      <c r="Y8" s="248"/>
      <c r="Z8" s="248"/>
      <c r="AA8" s="248"/>
      <c r="AB8" s="248"/>
    </row>
    <row r="9" spans="1:28" ht="15.75" hidden="1">
      <c r="A9" s="265" t="s">
        <v>409</v>
      </c>
      <c r="B9" s="267">
        <v>22245</v>
      </c>
      <c r="C9" s="267">
        <f>ROUND(492500*0.0825,-1)</f>
        <v>40630</v>
      </c>
      <c r="D9" s="267"/>
      <c r="E9" s="267"/>
      <c r="F9" s="267"/>
      <c r="G9" s="267"/>
      <c r="H9" s="268"/>
      <c r="I9" s="248">
        <f>ROUND(I$63*0.0825,-1)</f>
        <v>273900</v>
      </c>
      <c r="J9" s="248">
        <f>ROUND(J$63*0.0825,-1)</f>
        <v>37260</v>
      </c>
      <c r="K9" s="248">
        <f>ROUND(K$63*0.0825,-1)</f>
        <v>29010</v>
      </c>
      <c r="L9" s="248">
        <f>ROUND(1000000*0.0825,-2)</f>
        <v>82500</v>
      </c>
      <c r="M9" s="248">
        <f aca="true" t="shared" si="5" ref="M9:V9">ROUND(1000000*0.0825,-2)</f>
        <v>82500</v>
      </c>
      <c r="N9" s="248">
        <f t="shared" si="5"/>
        <v>82500</v>
      </c>
      <c r="O9" s="248">
        <f t="shared" si="5"/>
        <v>82500</v>
      </c>
      <c r="P9" s="248">
        <f t="shared" si="5"/>
        <v>82500</v>
      </c>
      <c r="Q9" s="248">
        <f t="shared" si="5"/>
        <v>82500</v>
      </c>
      <c r="R9" s="248">
        <f t="shared" si="5"/>
        <v>82500</v>
      </c>
      <c r="S9" s="248">
        <f t="shared" si="5"/>
        <v>82500</v>
      </c>
      <c r="T9" s="248">
        <f t="shared" si="5"/>
        <v>82500</v>
      </c>
      <c r="U9" s="248">
        <f t="shared" si="5"/>
        <v>82500</v>
      </c>
      <c r="V9" s="248">
        <f t="shared" si="5"/>
        <v>82500</v>
      </c>
      <c r="W9" s="248"/>
      <c r="X9" s="248"/>
      <c r="Y9" s="248"/>
      <c r="Z9" s="248"/>
      <c r="AA9" s="248"/>
      <c r="AB9" s="248"/>
    </row>
    <row r="10" spans="1:28" ht="20.25">
      <c r="A10" s="276" t="s">
        <v>403</v>
      </c>
      <c r="B10" s="269">
        <f>SUM(B7:B9)</f>
        <v>257000</v>
      </c>
      <c r="C10" s="269">
        <f aca="true" t="shared" si="6" ref="C10:V10">SUM(C7:C9)</f>
        <v>492500</v>
      </c>
      <c r="D10" s="283">
        <f t="shared" si="6"/>
        <v>348650</v>
      </c>
      <c r="E10" s="283">
        <f t="shared" si="6"/>
        <v>360950</v>
      </c>
      <c r="F10" s="283">
        <f t="shared" si="6"/>
        <v>305660</v>
      </c>
      <c r="G10" s="283">
        <f t="shared" si="6"/>
        <v>118180</v>
      </c>
      <c r="H10" s="284">
        <f t="shared" si="6"/>
        <v>473870</v>
      </c>
      <c r="I10" s="249">
        <f t="shared" si="6"/>
        <v>3320050</v>
      </c>
      <c r="J10" s="249">
        <f t="shared" si="6"/>
        <v>451670</v>
      </c>
      <c r="K10" s="249">
        <f t="shared" si="6"/>
        <v>351680</v>
      </c>
      <c r="L10" s="249">
        <f t="shared" si="6"/>
        <v>1000000</v>
      </c>
      <c r="M10" s="249">
        <f t="shared" si="6"/>
        <v>1000000</v>
      </c>
      <c r="N10" s="249">
        <f t="shared" si="6"/>
        <v>1000000</v>
      </c>
      <c r="O10" s="249">
        <f t="shared" si="6"/>
        <v>1000000</v>
      </c>
      <c r="P10" s="249">
        <f t="shared" si="6"/>
        <v>1000000</v>
      </c>
      <c r="Q10" s="249">
        <f t="shared" si="6"/>
        <v>1000000</v>
      </c>
      <c r="R10" s="249">
        <f t="shared" si="6"/>
        <v>1000000</v>
      </c>
      <c r="S10" s="249">
        <f t="shared" si="6"/>
        <v>1000000</v>
      </c>
      <c r="T10" s="249">
        <f t="shared" si="6"/>
        <v>1000000</v>
      </c>
      <c r="U10" s="249">
        <f t="shared" si="6"/>
        <v>1000000</v>
      </c>
      <c r="V10" s="249">
        <f t="shared" si="6"/>
        <v>1000000</v>
      </c>
      <c r="W10" s="248"/>
      <c r="X10" s="248"/>
      <c r="Y10" s="248"/>
      <c r="Z10" s="248"/>
      <c r="AA10" s="248"/>
      <c r="AB10" s="248"/>
    </row>
    <row r="11" spans="1:28" ht="15.75">
      <c r="A11" s="356" t="s">
        <v>177</v>
      </c>
      <c r="B11" s="267"/>
      <c r="C11" s="267"/>
      <c r="D11" s="267"/>
      <c r="E11" s="267"/>
      <c r="F11" s="267"/>
      <c r="G11" s="267"/>
      <c r="H11" s="26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</row>
    <row r="12" spans="1:28" ht="15.75">
      <c r="A12" s="265" t="s">
        <v>407</v>
      </c>
      <c r="B12" s="267">
        <v>407576</v>
      </c>
      <c r="C12" s="267">
        <f>406111+199793</f>
        <v>605904</v>
      </c>
      <c r="D12" s="267">
        <f>406561+177767</f>
        <v>584328</v>
      </c>
      <c r="E12" s="267">
        <f>406862+180548+187875</f>
        <v>775285</v>
      </c>
      <c r="F12" s="267">
        <f>407012+178030+187875</f>
        <v>772917</v>
      </c>
      <c r="G12" s="267">
        <f>410770+187875</f>
        <v>598645</v>
      </c>
      <c r="H12" s="268">
        <f>410545+187875+94375</f>
        <v>692795</v>
      </c>
      <c r="I12" s="248">
        <f>413926+187875</f>
        <v>601801</v>
      </c>
      <c r="J12" s="248">
        <v>413926</v>
      </c>
      <c r="K12" s="248">
        <f>ROUND(500000*0.755,-1)+18875</f>
        <v>396375</v>
      </c>
      <c r="L12" s="248">
        <f aca="true" t="shared" si="7" ref="L12:V12">ROUND((1000000-L10)*0.755,-1)</f>
        <v>0</v>
      </c>
      <c r="M12" s="248">
        <f t="shared" si="7"/>
        <v>0</v>
      </c>
      <c r="N12" s="248">
        <f t="shared" si="7"/>
        <v>0</v>
      </c>
      <c r="O12" s="248">
        <f t="shared" si="7"/>
        <v>0</v>
      </c>
      <c r="P12" s="248">
        <f t="shared" si="7"/>
        <v>0</v>
      </c>
      <c r="Q12" s="248">
        <f t="shared" si="7"/>
        <v>0</v>
      </c>
      <c r="R12" s="248">
        <f t="shared" si="7"/>
        <v>0</v>
      </c>
      <c r="S12" s="248">
        <f t="shared" si="7"/>
        <v>0</v>
      </c>
      <c r="T12" s="248">
        <f t="shared" si="7"/>
        <v>0</v>
      </c>
      <c r="U12" s="248">
        <f t="shared" si="7"/>
        <v>0</v>
      </c>
      <c r="V12" s="248">
        <f t="shared" si="7"/>
        <v>0</v>
      </c>
      <c r="W12" s="248"/>
      <c r="X12" s="248"/>
      <c r="Y12" s="248"/>
      <c r="Z12" s="248"/>
      <c r="AA12" s="248"/>
      <c r="AB12" s="248"/>
    </row>
    <row r="13" spans="1:28" ht="15.75" hidden="1">
      <c r="A13" s="265" t="s">
        <v>408</v>
      </c>
      <c r="B13" s="267">
        <v>85367</v>
      </c>
      <c r="C13" s="267">
        <f>87318+42957</f>
        <v>130275</v>
      </c>
      <c r="D13" s="267"/>
      <c r="E13" s="267"/>
      <c r="F13" s="267"/>
      <c r="G13" s="267"/>
      <c r="H13" s="268"/>
      <c r="I13" s="248">
        <f>88998+40395</f>
        <v>129393</v>
      </c>
      <c r="J13" s="248">
        <v>88998</v>
      </c>
      <c r="K13" s="248">
        <f>ROUND(500000*0.1625,-1)+4000</f>
        <v>85250</v>
      </c>
      <c r="L13" s="248">
        <f aca="true" t="shared" si="8" ref="L13:V13">ROUND((1000000-L10)*0.1625,-1)</f>
        <v>0</v>
      </c>
      <c r="M13" s="248">
        <f t="shared" si="8"/>
        <v>0</v>
      </c>
      <c r="N13" s="248">
        <f t="shared" si="8"/>
        <v>0</v>
      </c>
      <c r="O13" s="248">
        <f t="shared" si="8"/>
        <v>0</v>
      </c>
      <c r="P13" s="248">
        <f t="shared" si="8"/>
        <v>0</v>
      </c>
      <c r="Q13" s="248">
        <f t="shared" si="8"/>
        <v>0</v>
      </c>
      <c r="R13" s="248">
        <f t="shared" si="8"/>
        <v>0</v>
      </c>
      <c r="S13" s="248">
        <f t="shared" si="8"/>
        <v>0</v>
      </c>
      <c r="T13" s="248">
        <f t="shared" si="8"/>
        <v>0</v>
      </c>
      <c r="U13" s="248">
        <f t="shared" si="8"/>
        <v>0</v>
      </c>
      <c r="V13" s="248">
        <f t="shared" si="8"/>
        <v>0</v>
      </c>
      <c r="W13" s="248"/>
      <c r="X13" s="248"/>
      <c r="Y13" s="248"/>
      <c r="Z13" s="248"/>
      <c r="AA13" s="248"/>
      <c r="AB13" s="248"/>
    </row>
    <row r="14" spans="1:28" ht="15.75" hidden="1">
      <c r="A14" s="265" t="s">
        <v>409</v>
      </c>
      <c r="B14" s="267">
        <v>46707</v>
      </c>
      <c r="C14" s="267">
        <f>46971+23108</f>
        <v>70079</v>
      </c>
      <c r="D14" s="267"/>
      <c r="E14" s="267"/>
      <c r="F14" s="267"/>
      <c r="G14" s="267"/>
      <c r="H14" s="268"/>
      <c r="I14" s="248">
        <f>47876+21730</f>
        <v>69606</v>
      </c>
      <c r="J14" s="248">
        <v>47876</v>
      </c>
      <c r="K14" s="248">
        <f>ROUND(500000*0.0825,-1)+2000</f>
        <v>43250</v>
      </c>
      <c r="L14" s="248">
        <f aca="true" t="shared" si="9" ref="L14:V14">ROUND((1000000-L10)*0.0825,-1)</f>
        <v>0</v>
      </c>
      <c r="M14" s="248">
        <f t="shared" si="9"/>
        <v>0</v>
      </c>
      <c r="N14" s="248">
        <f t="shared" si="9"/>
        <v>0</v>
      </c>
      <c r="O14" s="248">
        <f t="shared" si="9"/>
        <v>0</v>
      </c>
      <c r="P14" s="248">
        <f t="shared" si="9"/>
        <v>0</v>
      </c>
      <c r="Q14" s="248">
        <f t="shared" si="9"/>
        <v>0</v>
      </c>
      <c r="R14" s="248">
        <f t="shared" si="9"/>
        <v>0</v>
      </c>
      <c r="S14" s="248">
        <f t="shared" si="9"/>
        <v>0</v>
      </c>
      <c r="T14" s="248">
        <f t="shared" si="9"/>
        <v>0</v>
      </c>
      <c r="U14" s="248">
        <f t="shared" si="9"/>
        <v>0</v>
      </c>
      <c r="V14" s="248">
        <f t="shared" si="9"/>
        <v>0</v>
      </c>
      <c r="W14" s="248"/>
      <c r="X14" s="248"/>
      <c r="Y14" s="248"/>
      <c r="Z14" s="248"/>
      <c r="AA14" s="248"/>
      <c r="AB14" s="248"/>
    </row>
    <row r="15" spans="1:28" ht="20.25">
      <c r="A15" s="276" t="s">
        <v>402</v>
      </c>
      <c r="B15" s="269">
        <f>SUM(B12:B14)</f>
        <v>539650</v>
      </c>
      <c r="C15" s="269">
        <f aca="true" t="shared" si="10" ref="C15:V15">SUM(C12:C14)</f>
        <v>806258</v>
      </c>
      <c r="D15" s="283">
        <f t="shared" si="10"/>
        <v>584328</v>
      </c>
      <c r="E15" s="283">
        <f t="shared" si="10"/>
        <v>775285</v>
      </c>
      <c r="F15" s="283">
        <f t="shared" si="10"/>
        <v>772917</v>
      </c>
      <c r="G15" s="283">
        <f t="shared" si="10"/>
        <v>598645</v>
      </c>
      <c r="H15" s="284">
        <f t="shared" si="10"/>
        <v>692795</v>
      </c>
      <c r="I15" s="249">
        <f t="shared" si="10"/>
        <v>800800</v>
      </c>
      <c r="J15" s="249">
        <f t="shared" si="10"/>
        <v>550800</v>
      </c>
      <c r="K15" s="249">
        <f t="shared" si="10"/>
        <v>524875</v>
      </c>
      <c r="L15" s="249">
        <f t="shared" si="10"/>
        <v>0</v>
      </c>
      <c r="M15" s="249">
        <f t="shared" si="10"/>
        <v>0</v>
      </c>
      <c r="N15" s="249">
        <f t="shared" si="10"/>
        <v>0</v>
      </c>
      <c r="O15" s="249">
        <f t="shared" si="10"/>
        <v>0</v>
      </c>
      <c r="P15" s="249">
        <f t="shared" si="10"/>
        <v>0</v>
      </c>
      <c r="Q15" s="249">
        <f t="shared" si="10"/>
        <v>0</v>
      </c>
      <c r="R15" s="249">
        <f t="shared" si="10"/>
        <v>0</v>
      </c>
      <c r="S15" s="249">
        <f t="shared" si="10"/>
        <v>0</v>
      </c>
      <c r="T15" s="249">
        <f t="shared" si="10"/>
        <v>0</v>
      </c>
      <c r="U15" s="249">
        <f t="shared" si="10"/>
        <v>0</v>
      </c>
      <c r="V15" s="249">
        <f t="shared" si="10"/>
        <v>0</v>
      </c>
      <c r="W15" s="248"/>
      <c r="X15" s="248"/>
      <c r="Y15" s="248"/>
      <c r="Z15" s="248"/>
      <c r="AA15" s="248"/>
      <c r="AB15" s="248"/>
    </row>
    <row r="16" spans="1:28" ht="15.75">
      <c r="A16" s="355" t="s">
        <v>587</v>
      </c>
      <c r="B16" s="269">
        <v>1109000</v>
      </c>
      <c r="C16" s="269">
        <v>1085000</v>
      </c>
      <c r="D16" s="267">
        <v>250000</v>
      </c>
      <c r="E16" s="269"/>
      <c r="F16" s="269"/>
      <c r="G16" s="269"/>
      <c r="H16" s="270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8"/>
      <c r="X16" s="248"/>
      <c r="Y16" s="248"/>
      <c r="Z16" s="248"/>
      <c r="AA16" s="248"/>
      <c r="AB16" s="248"/>
    </row>
    <row r="17" spans="1:28" ht="15.75">
      <c r="A17" s="272" t="s">
        <v>179</v>
      </c>
      <c r="B17" s="350">
        <f aca="true" t="shared" si="11" ref="B17:V17">B4+B10+B15+B16</f>
        <v>2225217</v>
      </c>
      <c r="C17" s="350">
        <f t="shared" si="11"/>
        <v>3448341</v>
      </c>
      <c r="D17" s="279">
        <f t="shared" si="11"/>
        <v>3646960</v>
      </c>
      <c r="E17" s="279">
        <f t="shared" si="11"/>
        <v>3734793.5</v>
      </c>
      <c r="F17" s="279">
        <f t="shared" si="11"/>
        <v>3589725.59</v>
      </c>
      <c r="G17" s="279">
        <f t="shared" si="11"/>
        <v>2879253.3049999997</v>
      </c>
      <c r="H17" s="280">
        <f t="shared" si="11"/>
        <v>2867883.1599999997</v>
      </c>
      <c r="I17" s="250">
        <f t="shared" si="11"/>
        <v>5342121.8</v>
      </c>
      <c r="J17" s="250">
        <f t="shared" si="11"/>
        <v>2233088.9625</v>
      </c>
      <c r="K17" s="250">
        <f t="shared" si="11"/>
        <v>2116922.3024999998</v>
      </c>
      <c r="L17" s="250">
        <f t="shared" si="11"/>
        <v>2219841.9274999998</v>
      </c>
      <c r="M17" s="250">
        <f t="shared" si="11"/>
        <v>2993245.7074999996</v>
      </c>
      <c r="N17" s="250">
        <f t="shared" si="11"/>
        <v>3775584.0699999994</v>
      </c>
      <c r="O17" s="250">
        <f t="shared" si="11"/>
        <v>4633391.139999999</v>
      </c>
      <c r="P17" s="250">
        <f t="shared" si="11"/>
        <v>4915202.784999998</v>
      </c>
      <c r="Q17" s="250">
        <f t="shared" si="11"/>
        <v>5715980.604999999</v>
      </c>
      <c r="R17" s="250">
        <f t="shared" si="11"/>
        <v>6522081.154999998</v>
      </c>
      <c r="S17" s="250">
        <f t="shared" si="11"/>
        <v>7227810.224999999</v>
      </c>
      <c r="T17" s="250">
        <f t="shared" si="11"/>
        <v>8007297.124999999</v>
      </c>
      <c r="U17" s="250">
        <f t="shared" si="11"/>
        <v>8354882.504999999</v>
      </c>
      <c r="V17" s="250">
        <f t="shared" si="11"/>
        <v>9030956.364999998</v>
      </c>
      <c r="W17" s="248"/>
      <c r="X17" s="248"/>
      <c r="Y17" s="248"/>
      <c r="Z17" s="248"/>
      <c r="AA17" s="248"/>
      <c r="AB17" s="248"/>
    </row>
    <row r="18" spans="1:28" ht="15.75">
      <c r="A18" s="273" t="s">
        <v>404</v>
      </c>
      <c r="B18" s="267"/>
      <c r="C18" s="267"/>
      <c r="D18" s="267"/>
      <c r="E18" s="267"/>
      <c r="F18" s="267"/>
      <c r="G18" s="267"/>
      <c r="H18" s="268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48"/>
      <c r="X18" s="248"/>
      <c r="Y18" s="248"/>
      <c r="Z18" s="248"/>
      <c r="AA18" s="248"/>
      <c r="AB18" s="248"/>
    </row>
    <row r="19" spans="1:28" ht="15.75" hidden="1">
      <c r="A19" s="260" t="s">
        <v>180</v>
      </c>
      <c r="B19" s="266">
        <f>915000+85000</f>
        <v>1000000</v>
      </c>
      <c r="C19" s="267">
        <v>1085000</v>
      </c>
      <c r="D19" s="267"/>
      <c r="E19" s="267"/>
      <c r="F19" s="267"/>
      <c r="G19" s="267"/>
      <c r="H19" s="268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48"/>
      <c r="X19" s="248"/>
      <c r="Y19" s="248"/>
      <c r="Z19" s="248"/>
      <c r="AA19" s="248"/>
      <c r="AB19" s="248"/>
    </row>
    <row r="20" spans="1:28" ht="15.75" hidden="1">
      <c r="A20" s="260" t="s">
        <v>181</v>
      </c>
      <c r="B20" s="267">
        <v>60000</v>
      </c>
      <c r="C20" s="267"/>
      <c r="D20" s="267"/>
      <c r="E20" s="267"/>
      <c r="F20" s="267"/>
      <c r="G20" s="267"/>
      <c r="H20" s="268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48"/>
      <c r="X20" s="248"/>
      <c r="Y20" s="248"/>
      <c r="Z20" s="248"/>
      <c r="AA20" s="248"/>
      <c r="AB20" s="248"/>
    </row>
    <row r="21" spans="1:28" ht="15.75" hidden="1">
      <c r="A21" s="260" t="s">
        <v>182</v>
      </c>
      <c r="B21" s="267"/>
      <c r="C21" s="267"/>
      <c r="D21" s="267"/>
      <c r="E21" s="267"/>
      <c r="F21" s="267"/>
      <c r="G21" s="267"/>
      <c r="H21" s="268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48"/>
      <c r="X21" s="248"/>
      <c r="Y21" s="248"/>
      <c r="Z21" s="248"/>
      <c r="AA21" s="248"/>
      <c r="AB21" s="248"/>
    </row>
    <row r="22" spans="1:28" ht="15.75" hidden="1">
      <c r="A22" s="260" t="s">
        <v>183</v>
      </c>
      <c r="B22" s="267"/>
      <c r="C22" s="267"/>
      <c r="D22" s="267"/>
      <c r="E22" s="267"/>
      <c r="F22" s="267"/>
      <c r="G22" s="267"/>
      <c r="H22" s="268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48"/>
      <c r="X22" s="248"/>
      <c r="Y22" s="248"/>
      <c r="Z22" s="248"/>
      <c r="AA22" s="248"/>
      <c r="AB22" s="248"/>
    </row>
    <row r="23" spans="1:28" ht="15.75" hidden="1">
      <c r="A23" s="260" t="s">
        <v>598</v>
      </c>
      <c r="B23" s="267"/>
      <c r="C23" s="267"/>
      <c r="D23" s="267"/>
      <c r="E23" s="267"/>
      <c r="F23" s="267"/>
      <c r="G23" s="267"/>
      <c r="H23" s="268"/>
      <c r="I23" s="267">
        <f>6000000*0.76039</f>
        <v>4562340</v>
      </c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48"/>
      <c r="X23" s="248"/>
      <c r="Y23" s="248"/>
      <c r="Z23" s="248"/>
      <c r="AA23" s="248"/>
      <c r="AB23" s="248"/>
    </row>
    <row r="24" spans="1:28" ht="15.75" hidden="1">
      <c r="A24" s="260" t="s">
        <v>184</v>
      </c>
      <c r="B24" s="267"/>
      <c r="C24" s="267"/>
      <c r="D24" s="267"/>
      <c r="E24" s="267"/>
      <c r="F24" s="267"/>
      <c r="G24" s="267"/>
      <c r="H24" s="268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48"/>
      <c r="X24" s="248"/>
      <c r="Y24" s="248"/>
      <c r="Z24" s="248"/>
      <c r="AA24" s="248"/>
      <c r="AB24" s="248"/>
    </row>
    <row r="25" spans="1:28" ht="15.75" hidden="1">
      <c r="A25" s="260" t="s">
        <v>600</v>
      </c>
      <c r="B25" s="267"/>
      <c r="C25" s="267"/>
      <c r="D25" s="267"/>
      <c r="E25" s="267"/>
      <c r="F25" s="267"/>
      <c r="G25" s="267"/>
      <c r="H25" s="268"/>
      <c r="I25" s="267"/>
      <c r="J25" s="267"/>
      <c r="K25" s="267"/>
      <c r="L25" s="267"/>
      <c r="M25" s="267"/>
      <c r="N25" s="267">
        <f>280000*0.76039</f>
        <v>212909.2</v>
      </c>
      <c r="O25" s="267"/>
      <c r="P25" s="267"/>
      <c r="Q25" s="267"/>
      <c r="R25" s="267"/>
      <c r="S25" s="267"/>
      <c r="T25" s="267"/>
      <c r="U25" s="267"/>
      <c r="V25" s="267"/>
      <c r="W25" s="248"/>
      <c r="X25" s="248"/>
      <c r="Y25" s="248"/>
      <c r="Z25" s="248"/>
      <c r="AA25" s="248"/>
      <c r="AB25" s="248"/>
    </row>
    <row r="26" spans="1:28" ht="15.75">
      <c r="A26" s="260" t="s">
        <v>593</v>
      </c>
      <c r="B26" s="267"/>
      <c r="C26" s="267"/>
      <c r="D26" s="267"/>
      <c r="E26" s="267"/>
      <c r="F26" s="267">
        <f>232000*0.76039</f>
        <v>176410.48</v>
      </c>
      <c r="G26" s="267"/>
      <c r="H26" s="268"/>
      <c r="I26" s="267"/>
      <c r="J26" s="267"/>
      <c r="K26" s="267"/>
      <c r="L26" s="267"/>
      <c r="M26" s="267"/>
      <c r="N26" s="267"/>
      <c r="O26" s="267"/>
      <c r="P26" s="267">
        <f>298000*0.76039</f>
        <v>226596.22</v>
      </c>
      <c r="Q26" s="267"/>
      <c r="R26" s="267"/>
      <c r="S26" s="267"/>
      <c r="T26" s="267"/>
      <c r="U26" s="267"/>
      <c r="V26" s="267"/>
      <c r="W26" s="248"/>
      <c r="X26" s="248"/>
      <c r="Y26" s="248"/>
      <c r="Z26" s="248"/>
      <c r="AA26" s="248"/>
      <c r="AB26" s="248"/>
    </row>
    <row r="27" spans="1:28" ht="15.75">
      <c r="A27" s="260" t="s">
        <v>594</v>
      </c>
      <c r="B27" s="267"/>
      <c r="C27" s="267"/>
      <c r="D27" s="267"/>
      <c r="E27" s="267"/>
      <c r="F27" s="267">
        <f>116000*0.76039</f>
        <v>88205.24</v>
      </c>
      <c r="G27" s="267"/>
      <c r="H27" s="268"/>
      <c r="I27" s="267"/>
      <c r="J27" s="267"/>
      <c r="K27" s="267"/>
      <c r="L27" s="267"/>
      <c r="M27" s="267"/>
      <c r="N27" s="267"/>
      <c r="O27" s="267"/>
      <c r="P27" s="267">
        <f>298000*0.76039</f>
        <v>226596.22</v>
      </c>
      <c r="Q27" s="267"/>
      <c r="R27" s="267"/>
      <c r="S27" s="267"/>
      <c r="T27" s="267"/>
      <c r="U27" s="267"/>
      <c r="V27" s="267"/>
      <c r="W27" s="248"/>
      <c r="X27" s="248"/>
      <c r="Y27" s="248"/>
      <c r="Z27" s="248"/>
      <c r="AA27" s="248"/>
      <c r="AB27" s="248"/>
    </row>
    <row r="28" spans="1:28" ht="15.75" hidden="1">
      <c r="A28" s="260" t="s">
        <v>597</v>
      </c>
      <c r="B28" s="267"/>
      <c r="C28" s="267"/>
      <c r="D28" s="267"/>
      <c r="E28" s="267"/>
      <c r="F28" s="267"/>
      <c r="G28" s="267"/>
      <c r="H28" s="268"/>
      <c r="I28" s="267">
        <f>246000*0.76039</f>
        <v>187055.94</v>
      </c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48"/>
      <c r="X28" s="248"/>
      <c r="Y28" s="248"/>
      <c r="Z28" s="248"/>
      <c r="AA28" s="248"/>
      <c r="AB28" s="248"/>
    </row>
    <row r="29" spans="1:28" ht="15.75">
      <c r="A29" s="260" t="s">
        <v>185</v>
      </c>
      <c r="B29" s="267"/>
      <c r="C29" s="267"/>
      <c r="D29" s="267"/>
      <c r="E29" s="267"/>
      <c r="G29" s="267">
        <f>503000*0.76039</f>
        <v>382476.17</v>
      </c>
      <c r="H29" s="268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48"/>
      <c r="X29" s="248"/>
      <c r="Y29" s="248"/>
      <c r="Z29" s="248"/>
      <c r="AA29" s="248"/>
      <c r="AB29" s="248"/>
    </row>
    <row r="30" spans="1:28" ht="15.75" hidden="1">
      <c r="A30" s="260" t="s">
        <v>601</v>
      </c>
      <c r="B30" s="267"/>
      <c r="C30" s="267"/>
      <c r="D30" s="267"/>
      <c r="E30" s="267"/>
      <c r="F30" s="267"/>
      <c r="G30" s="267"/>
      <c r="H30" s="268"/>
      <c r="I30" s="267"/>
      <c r="J30" s="267"/>
      <c r="K30" s="267"/>
      <c r="L30" s="267"/>
      <c r="M30" s="267"/>
      <c r="N30" s="267"/>
      <c r="O30" s="267"/>
      <c r="P30" s="267"/>
      <c r="Q30" s="267">
        <f>845000*0.76039</f>
        <v>642529.55</v>
      </c>
      <c r="R30" s="267"/>
      <c r="S30" s="267"/>
      <c r="T30" s="267"/>
      <c r="U30" s="267"/>
      <c r="V30" s="267"/>
      <c r="W30" s="248"/>
      <c r="X30" s="248"/>
      <c r="Y30" s="248"/>
      <c r="Z30" s="248"/>
      <c r="AA30" s="248"/>
      <c r="AB30" s="248"/>
    </row>
    <row r="31" spans="1:28" ht="15.75">
      <c r="A31" s="260" t="s">
        <v>186</v>
      </c>
      <c r="B31" s="267"/>
      <c r="C31" s="267"/>
      <c r="D31" s="267"/>
      <c r="E31" s="267">
        <f>330000*0.76039</f>
        <v>250928.7</v>
      </c>
      <c r="F31" s="267"/>
      <c r="G31" s="267"/>
      <c r="H31" s="268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48"/>
      <c r="X31" s="248"/>
      <c r="Y31" s="248"/>
      <c r="Z31" s="248"/>
      <c r="AA31" s="248"/>
      <c r="AB31" s="248"/>
    </row>
    <row r="32" spans="1:28" ht="15.75" hidden="1">
      <c r="A32" s="260" t="s">
        <v>187</v>
      </c>
      <c r="B32" s="267"/>
      <c r="C32" s="267"/>
      <c r="D32" s="267"/>
      <c r="E32" s="267"/>
      <c r="F32" s="267"/>
      <c r="G32" s="267"/>
      <c r="H32" s="268"/>
      <c r="I32" s="267"/>
      <c r="J32" s="267"/>
      <c r="K32" s="267"/>
      <c r="L32" s="267"/>
      <c r="M32" s="267"/>
      <c r="N32" s="267"/>
      <c r="O32" s="267">
        <f>725000*0.76039</f>
        <v>551282.75</v>
      </c>
      <c r="P32" s="267"/>
      <c r="Q32" s="267"/>
      <c r="R32" s="267"/>
      <c r="S32" s="267"/>
      <c r="T32" s="267"/>
      <c r="U32" s="267"/>
      <c r="V32" s="267"/>
      <c r="W32" s="248"/>
      <c r="X32" s="248"/>
      <c r="Y32" s="248"/>
      <c r="Z32" s="248"/>
      <c r="AA32" s="248"/>
      <c r="AB32" s="248"/>
    </row>
    <row r="33" spans="1:28" ht="15.75" hidden="1">
      <c r="A33" s="260" t="s">
        <v>188</v>
      </c>
      <c r="B33" s="267"/>
      <c r="C33" s="267"/>
      <c r="D33" s="267"/>
      <c r="E33" s="267"/>
      <c r="F33" s="267"/>
      <c r="G33" s="267"/>
      <c r="H33" s="268"/>
      <c r="I33" s="267"/>
      <c r="J33" s="267"/>
      <c r="K33" s="267"/>
      <c r="L33" s="267"/>
      <c r="M33" s="267"/>
      <c r="N33" s="267"/>
      <c r="O33" s="267"/>
      <c r="P33" s="267"/>
      <c r="Q33" s="267"/>
      <c r="R33" s="267">
        <f>790000*0.76039</f>
        <v>600708.1</v>
      </c>
      <c r="S33" s="267"/>
      <c r="T33" s="267"/>
      <c r="U33" s="267"/>
      <c r="V33" s="267"/>
      <c r="W33" s="248"/>
      <c r="X33" s="248"/>
      <c r="Y33" s="248"/>
      <c r="Z33" s="248"/>
      <c r="AA33" s="248"/>
      <c r="AB33" s="248"/>
    </row>
    <row r="34" spans="1:28" ht="15.75" hidden="1">
      <c r="A34" s="260" t="s">
        <v>189</v>
      </c>
      <c r="B34" s="267"/>
      <c r="C34" s="267"/>
      <c r="D34" s="267"/>
      <c r="E34" s="267"/>
      <c r="F34" s="267"/>
      <c r="G34" s="267"/>
      <c r="H34" s="268"/>
      <c r="I34" s="267">
        <f>431000*0.76039</f>
        <v>327728.09</v>
      </c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48"/>
      <c r="X34" s="248"/>
      <c r="Y34" s="248"/>
      <c r="Z34" s="248"/>
      <c r="AA34" s="248"/>
      <c r="AB34" s="248"/>
    </row>
    <row r="35" spans="1:28" ht="15.75" hidden="1">
      <c r="A35" s="260" t="s">
        <v>602</v>
      </c>
      <c r="B35" s="267"/>
      <c r="C35" s="267"/>
      <c r="D35" s="267"/>
      <c r="E35" s="267"/>
      <c r="F35" s="267"/>
      <c r="G35" s="267"/>
      <c r="H35" s="268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>
        <f>1650000*0.76039</f>
        <v>1254643.5</v>
      </c>
      <c r="V35" s="267"/>
      <c r="W35" s="248"/>
      <c r="X35" s="248"/>
      <c r="Y35" s="248"/>
      <c r="Z35" s="248"/>
      <c r="AA35" s="248"/>
      <c r="AB35" s="248"/>
    </row>
    <row r="36" spans="1:28" ht="15.75">
      <c r="A36" s="260" t="s">
        <v>591</v>
      </c>
      <c r="B36" s="267"/>
      <c r="C36" s="267"/>
      <c r="D36" s="267"/>
      <c r="E36" s="267">
        <f>-20000*0.76039</f>
        <v>-15207.800000000001</v>
      </c>
      <c r="F36" s="267"/>
      <c r="G36" s="267"/>
      <c r="H36" s="268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48"/>
      <c r="X36" s="248"/>
      <c r="Y36" s="248"/>
      <c r="Z36" s="248"/>
      <c r="AA36" s="248"/>
      <c r="AB36" s="248"/>
    </row>
    <row r="37" spans="1:28" ht="15.75" hidden="1">
      <c r="A37" s="260" t="s">
        <v>596</v>
      </c>
      <c r="B37" s="267"/>
      <c r="C37" s="267"/>
      <c r="D37" s="267"/>
      <c r="E37" s="267"/>
      <c r="F37" s="267"/>
      <c r="G37" s="267"/>
      <c r="H37" s="268"/>
      <c r="I37" s="267">
        <f>677000*0.76039</f>
        <v>514784.03</v>
      </c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48"/>
      <c r="X37" s="248"/>
      <c r="Y37" s="248"/>
      <c r="Z37" s="248"/>
      <c r="AA37" s="248"/>
      <c r="AB37" s="248"/>
    </row>
    <row r="38" spans="1:28" ht="15.75" hidden="1">
      <c r="A38" s="260" t="s">
        <v>190</v>
      </c>
      <c r="B38" s="267"/>
      <c r="C38" s="267"/>
      <c r="D38" s="267"/>
      <c r="E38" s="267"/>
      <c r="F38" s="267"/>
      <c r="G38" s="267"/>
      <c r="H38" s="268"/>
      <c r="I38" s="267"/>
      <c r="J38" s="267"/>
      <c r="K38" s="267">
        <f>260000*0.76039</f>
        <v>197701.4</v>
      </c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48"/>
      <c r="X38" s="248"/>
      <c r="Y38" s="248"/>
      <c r="Z38" s="248"/>
      <c r="AA38" s="248"/>
      <c r="AB38" s="248"/>
    </row>
    <row r="39" spans="1:28" ht="15.75">
      <c r="A39" s="260" t="s">
        <v>191</v>
      </c>
      <c r="B39" s="267">
        <v>49000</v>
      </c>
      <c r="C39" s="267">
        <v>60000</v>
      </c>
      <c r="D39" s="267">
        <v>52943</v>
      </c>
      <c r="E39" s="267"/>
      <c r="F39" s="267"/>
      <c r="G39" s="267"/>
      <c r="H39" s="268">
        <f>292000*0.76039</f>
        <v>222033.88</v>
      </c>
      <c r="I39" s="267"/>
      <c r="J39" s="267">
        <f>79000*0.76039</f>
        <v>60070.81</v>
      </c>
      <c r="K39" s="267"/>
      <c r="L39" s="267">
        <f>80000*0.76039</f>
        <v>60831.200000000004</v>
      </c>
      <c r="M39" s="267"/>
      <c r="N39" s="267"/>
      <c r="O39" s="267">
        <f>88000*0.76039</f>
        <v>66914.32</v>
      </c>
      <c r="P39" s="267"/>
      <c r="Q39" s="267"/>
      <c r="R39" s="267">
        <f>97000*0.76039</f>
        <v>73757.83</v>
      </c>
      <c r="S39" s="267"/>
      <c r="T39" s="267"/>
      <c r="U39" s="267">
        <f>107000*0.76039</f>
        <v>81361.73</v>
      </c>
      <c r="V39" s="267"/>
      <c r="W39" s="248"/>
      <c r="X39" s="248"/>
      <c r="Y39" s="248"/>
      <c r="Z39" s="248"/>
      <c r="AA39" s="248"/>
      <c r="AB39" s="248"/>
    </row>
    <row r="40" spans="1:28" ht="15.75" hidden="1">
      <c r="A40" s="260" t="s">
        <v>192</v>
      </c>
      <c r="B40" s="267"/>
      <c r="C40" s="267"/>
      <c r="D40" s="267"/>
      <c r="E40" s="267"/>
      <c r="F40" s="267"/>
      <c r="G40" s="267"/>
      <c r="H40" s="268"/>
      <c r="I40" s="267"/>
      <c r="J40" s="267"/>
      <c r="K40" s="267"/>
      <c r="L40" s="267">
        <f>75000*0.76039</f>
        <v>57029.25</v>
      </c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48"/>
      <c r="X40" s="248"/>
      <c r="Y40" s="248"/>
      <c r="Z40" s="248"/>
      <c r="AA40" s="248"/>
      <c r="AB40" s="248"/>
    </row>
    <row r="41" spans="1:28" ht="15.75" hidden="1">
      <c r="A41" s="251" t="s">
        <v>193</v>
      </c>
      <c r="B41" s="267">
        <v>21000</v>
      </c>
      <c r="C41" s="267">
        <v>20000</v>
      </c>
      <c r="D41" s="267"/>
      <c r="E41" s="267"/>
      <c r="F41" s="267"/>
      <c r="G41" s="267"/>
      <c r="H41" s="268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48"/>
      <c r="X41" s="248"/>
      <c r="Y41" s="248"/>
      <c r="Z41" s="248"/>
      <c r="AA41" s="248"/>
      <c r="AB41" s="248"/>
    </row>
    <row r="42" spans="1:28" ht="15.75" hidden="1">
      <c r="A42" s="251" t="s">
        <v>194</v>
      </c>
      <c r="B42" s="267">
        <v>50000</v>
      </c>
      <c r="C42" s="267"/>
      <c r="D42" s="267"/>
      <c r="E42" s="267"/>
      <c r="F42" s="267"/>
      <c r="G42" s="267"/>
      <c r="H42" s="268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48"/>
      <c r="X42" s="248"/>
      <c r="Y42" s="248"/>
      <c r="Z42" s="248"/>
      <c r="AA42" s="248"/>
      <c r="AB42" s="248"/>
    </row>
    <row r="43" spans="1:28" ht="15.75" hidden="1">
      <c r="A43" s="251" t="s">
        <v>599</v>
      </c>
      <c r="B43" s="267"/>
      <c r="C43" s="267"/>
      <c r="D43" s="267"/>
      <c r="E43" s="267"/>
      <c r="F43" s="267"/>
      <c r="G43" s="267"/>
      <c r="H43" s="268"/>
      <c r="I43" s="267">
        <f>2400000*0.76039</f>
        <v>1824936</v>
      </c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48"/>
      <c r="X43" s="248"/>
      <c r="Y43" s="248"/>
      <c r="Z43" s="248"/>
      <c r="AA43" s="248"/>
      <c r="AB43" s="248"/>
    </row>
    <row r="44" spans="1:28" ht="15.75">
      <c r="A44" s="251" t="s">
        <v>590</v>
      </c>
      <c r="B44" s="267">
        <v>40000</v>
      </c>
      <c r="C44" s="267">
        <v>42500</v>
      </c>
      <c r="D44" s="267">
        <f>65000*0.7563</f>
        <v>49159.5</v>
      </c>
      <c r="E44" s="267">
        <f>115000*0.76039</f>
        <v>87444.85</v>
      </c>
      <c r="F44" s="267">
        <f>52500*0.76039</f>
        <v>39920.475</v>
      </c>
      <c r="G44" s="267">
        <f>52500*0.76039</f>
        <v>39920.475</v>
      </c>
      <c r="H44" s="268">
        <f>55000*0.76039</f>
        <v>41821.45</v>
      </c>
      <c r="I44" s="267">
        <f>57250*0.76039</f>
        <v>43532.3275</v>
      </c>
      <c r="J44" s="267">
        <f>60000*0.76039</f>
        <v>45623.4</v>
      </c>
      <c r="K44" s="267">
        <f>62500*0.76039</f>
        <v>47524.375</v>
      </c>
      <c r="L44" s="267">
        <f>65000*0.76039</f>
        <v>49425.35</v>
      </c>
      <c r="M44" s="267">
        <f>67250*0.76039</f>
        <v>51136.2275</v>
      </c>
      <c r="N44" s="267">
        <f>70000*0.76039</f>
        <v>53227.3</v>
      </c>
      <c r="O44" s="267">
        <f>72500*0.76039</f>
        <v>55128.275</v>
      </c>
      <c r="P44" s="267">
        <f aca="true" t="shared" si="12" ref="P44:U44">75000*0.76039</f>
        <v>57029.25</v>
      </c>
      <c r="Q44" s="267">
        <f t="shared" si="12"/>
        <v>57029.25</v>
      </c>
      <c r="R44" s="267">
        <f t="shared" si="12"/>
        <v>57029.25</v>
      </c>
      <c r="S44" s="267">
        <f t="shared" si="12"/>
        <v>57029.25</v>
      </c>
      <c r="T44" s="267">
        <f t="shared" si="12"/>
        <v>57029.25</v>
      </c>
      <c r="U44" s="267">
        <f t="shared" si="12"/>
        <v>57029.25</v>
      </c>
      <c r="V44" s="267"/>
      <c r="W44" s="248"/>
      <c r="X44" s="248"/>
      <c r="Y44" s="248"/>
      <c r="Z44" s="248"/>
      <c r="AA44" s="248"/>
      <c r="AB44" s="248"/>
    </row>
    <row r="45" spans="1:28" ht="15.75">
      <c r="A45" s="251" t="s">
        <v>592</v>
      </c>
      <c r="B45" s="267"/>
      <c r="C45" s="267"/>
      <c r="D45" s="267"/>
      <c r="E45" s="267">
        <f>45000*0.76039</f>
        <v>34217.55</v>
      </c>
      <c r="F45" s="267"/>
      <c r="G45" s="267"/>
      <c r="H45" s="268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48"/>
      <c r="X45" s="248"/>
      <c r="Y45" s="248"/>
      <c r="Z45" s="248"/>
      <c r="AA45" s="248"/>
      <c r="AB45" s="248"/>
    </row>
    <row r="46" spans="1:28" ht="15.75">
      <c r="A46" s="251" t="s">
        <v>595</v>
      </c>
      <c r="B46" s="267"/>
      <c r="C46" s="267"/>
      <c r="D46" s="267"/>
      <c r="E46" s="267"/>
      <c r="F46" s="267">
        <f>50000*0.76039</f>
        <v>38019.5</v>
      </c>
      <c r="G46" s="267"/>
      <c r="H46" s="268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48"/>
      <c r="X46" s="248"/>
      <c r="Y46" s="248"/>
      <c r="Z46" s="248"/>
      <c r="AA46" s="248"/>
      <c r="AB46" s="248"/>
    </row>
    <row r="47" spans="1:28" ht="15.75">
      <c r="A47" s="251" t="s">
        <v>195</v>
      </c>
      <c r="B47" s="267">
        <v>60000</v>
      </c>
      <c r="C47" s="267">
        <v>130000</v>
      </c>
      <c r="D47" s="267">
        <f>130000*0.7563</f>
        <v>98319</v>
      </c>
      <c r="E47" s="267"/>
      <c r="F47" s="267"/>
      <c r="G47" s="267"/>
      <c r="H47" s="268"/>
      <c r="I47" s="267"/>
      <c r="J47" s="267"/>
      <c r="K47" s="267"/>
      <c r="L47" s="267"/>
      <c r="M47" s="267"/>
      <c r="N47" s="267"/>
      <c r="O47" s="267">
        <f>462000*0.76039</f>
        <v>351300.18</v>
      </c>
      <c r="P47" s="267"/>
      <c r="Q47" s="267"/>
      <c r="R47" s="267"/>
      <c r="S47" s="267"/>
      <c r="T47" s="267"/>
      <c r="U47" s="267"/>
      <c r="V47" s="267"/>
      <c r="W47" s="248"/>
      <c r="X47" s="248"/>
      <c r="Y47" s="248"/>
      <c r="Z47" s="248"/>
      <c r="AA47" s="248"/>
      <c r="AB47" s="248"/>
    </row>
    <row r="48" spans="1:28" ht="15.75">
      <c r="A48" s="251" t="s">
        <v>603</v>
      </c>
      <c r="B48" s="267">
        <v>46000</v>
      </c>
      <c r="C48" s="267">
        <v>20000</v>
      </c>
      <c r="D48" s="267">
        <f>20000*0.7563</f>
        <v>15126</v>
      </c>
      <c r="E48" s="267">
        <f>40000*0.76039</f>
        <v>30415.600000000002</v>
      </c>
      <c r="F48" s="267">
        <f>20000*0.76039</f>
        <v>15207.800000000001</v>
      </c>
      <c r="G48" s="267">
        <f>20000*0.76039</f>
        <v>15207.800000000001</v>
      </c>
      <c r="H48" s="268">
        <f>40000*0.76039</f>
        <v>30415.600000000002</v>
      </c>
      <c r="I48" s="267">
        <f>20000*0.76039</f>
        <v>15207.800000000001</v>
      </c>
      <c r="J48" s="267">
        <f>20000*0.76039</f>
        <v>15207.800000000001</v>
      </c>
      <c r="K48" s="267">
        <f>20000*0.76039</f>
        <v>15207.800000000001</v>
      </c>
      <c r="L48" s="267">
        <f>20000*0.76039</f>
        <v>15207.800000000001</v>
      </c>
      <c r="M48" s="267">
        <f>45000*0.76039</f>
        <v>34217.55</v>
      </c>
      <c r="N48" s="267">
        <f>20000*0.76039</f>
        <v>15207.800000000001</v>
      </c>
      <c r="O48" s="267">
        <f>20000*0.76039</f>
        <v>15207.800000000001</v>
      </c>
      <c r="P48" s="267">
        <f>20000*0.76039</f>
        <v>15207.800000000001</v>
      </c>
      <c r="Q48" s="267">
        <f>20000*0.76039</f>
        <v>15207.800000000001</v>
      </c>
      <c r="R48" s="267">
        <f>50000*0.76039</f>
        <v>38019.5</v>
      </c>
      <c r="S48" s="267">
        <f>20000*0.76039</f>
        <v>15207.800000000001</v>
      </c>
      <c r="T48" s="267">
        <f>20000*0.76039</f>
        <v>15207.800000000001</v>
      </c>
      <c r="U48" s="267">
        <f>20000*0.76039</f>
        <v>15207.800000000001</v>
      </c>
      <c r="V48" s="267"/>
      <c r="W48" s="248"/>
      <c r="X48" s="248"/>
      <c r="Y48" s="248"/>
      <c r="Z48" s="248"/>
      <c r="AA48" s="248"/>
      <c r="AB48" s="248"/>
    </row>
    <row r="49" spans="1:28" ht="15.75" hidden="1">
      <c r="A49" s="251" t="s">
        <v>196</v>
      </c>
      <c r="B49" s="267">
        <v>10000</v>
      </c>
      <c r="C49" s="267"/>
      <c r="D49" s="267"/>
      <c r="E49" s="267"/>
      <c r="F49" s="267"/>
      <c r="G49" s="267"/>
      <c r="H49" s="268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48"/>
      <c r="X49" s="248"/>
      <c r="Y49" s="248"/>
      <c r="Z49" s="248"/>
      <c r="AA49" s="248"/>
      <c r="AB49" s="248"/>
    </row>
    <row r="50" spans="1:28" ht="15.75" hidden="1">
      <c r="A50" s="251" t="s">
        <v>197</v>
      </c>
      <c r="B50" s="267">
        <v>30000</v>
      </c>
      <c r="C50" s="267"/>
      <c r="D50" s="267"/>
      <c r="E50" s="267"/>
      <c r="F50" s="267"/>
      <c r="G50" s="267"/>
      <c r="H50" s="268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48"/>
      <c r="X50" s="248"/>
      <c r="Y50" s="248"/>
      <c r="Z50" s="248"/>
      <c r="AA50" s="248"/>
      <c r="AB50" s="248"/>
    </row>
    <row r="51" spans="1:28" ht="15.75" hidden="1">
      <c r="A51" s="251" t="s">
        <v>59</v>
      </c>
      <c r="B51" s="267"/>
      <c r="C51" s="267">
        <v>25000</v>
      </c>
      <c r="D51" s="267"/>
      <c r="E51" s="267"/>
      <c r="F51" s="267"/>
      <c r="G51" s="267"/>
      <c r="H51" s="268"/>
      <c r="I51" s="267"/>
      <c r="J51" s="267"/>
      <c r="K51" s="267"/>
      <c r="L51" s="267"/>
      <c r="M51" s="267">
        <f>34000*0.76039</f>
        <v>25853.260000000002</v>
      </c>
      <c r="N51" s="267"/>
      <c r="O51" s="267"/>
      <c r="P51" s="267"/>
      <c r="Q51" s="267"/>
      <c r="R51" s="267"/>
      <c r="S51" s="267"/>
      <c r="T51" s="267"/>
      <c r="U51" s="267"/>
      <c r="V51" s="267"/>
      <c r="W51" s="248"/>
      <c r="X51" s="248"/>
      <c r="Y51" s="248"/>
      <c r="Z51" s="248"/>
      <c r="AA51" s="248"/>
      <c r="AB51" s="248"/>
    </row>
    <row r="52" spans="1:28" ht="15.75" hidden="1">
      <c r="A52" s="251" t="s">
        <v>66</v>
      </c>
      <c r="B52" s="267"/>
      <c r="C52" s="267">
        <v>40000</v>
      </c>
      <c r="D52" s="267"/>
      <c r="E52" s="267"/>
      <c r="F52" s="267"/>
      <c r="G52" s="267"/>
      <c r="H52" s="268"/>
      <c r="I52" s="267"/>
      <c r="J52" s="267"/>
      <c r="K52" s="267"/>
      <c r="L52" s="267"/>
      <c r="M52" s="267">
        <f>55000*0.76039</f>
        <v>41821.45</v>
      </c>
      <c r="N52" s="267"/>
      <c r="O52" s="267"/>
      <c r="P52" s="267"/>
      <c r="Q52" s="267"/>
      <c r="R52" s="267"/>
      <c r="S52" s="267"/>
      <c r="T52" s="267">
        <f>69000*0.76039</f>
        <v>52466.91</v>
      </c>
      <c r="U52" s="267"/>
      <c r="V52" s="267"/>
      <c r="W52" s="248"/>
      <c r="X52" s="248"/>
      <c r="Y52" s="248"/>
      <c r="Z52" s="248"/>
      <c r="AA52" s="248"/>
      <c r="AB52" s="248"/>
    </row>
    <row r="53" spans="1:28" ht="15.75">
      <c r="A53" s="251" t="s">
        <v>67</v>
      </c>
      <c r="B53" s="267"/>
      <c r="C53" s="267">
        <v>25000</v>
      </c>
      <c r="D53" s="267"/>
      <c r="E53" s="267"/>
      <c r="F53" s="267"/>
      <c r="G53" s="267">
        <f>25000*0.76039</f>
        <v>19009.75</v>
      </c>
      <c r="H53" s="268"/>
      <c r="I53" s="267"/>
      <c r="J53" s="267"/>
      <c r="K53" s="267"/>
      <c r="L53" s="267"/>
      <c r="M53" s="267">
        <f>25000*0.76039</f>
        <v>19009.75</v>
      </c>
      <c r="N53" s="267"/>
      <c r="O53" s="267"/>
      <c r="P53" s="267">
        <f>25000*0.76039</f>
        <v>19009.75</v>
      </c>
      <c r="Q53" s="267"/>
      <c r="R53" s="267"/>
      <c r="S53" s="267">
        <f>25000*0.76039</f>
        <v>19009.75</v>
      </c>
      <c r="T53" s="267"/>
      <c r="U53" s="267"/>
      <c r="V53" s="267"/>
      <c r="W53" s="248"/>
      <c r="X53" s="248"/>
      <c r="Y53" s="248"/>
      <c r="Z53" s="248"/>
      <c r="AA53" s="248"/>
      <c r="AB53" s="248"/>
    </row>
    <row r="54" spans="1:28" ht="15.75">
      <c r="A54" s="251" t="s">
        <v>198</v>
      </c>
      <c r="B54" s="267"/>
      <c r="C54" s="267">
        <v>40000</v>
      </c>
      <c r="D54" s="267">
        <f>40000*0.7563</f>
        <v>30252</v>
      </c>
      <c r="E54" s="267">
        <f>44000*0.76039</f>
        <v>33457.16</v>
      </c>
      <c r="F54" s="267">
        <f>48000*0.76039</f>
        <v>36498.72</v>
      </c>
      <c r="G54" s="267">
        <f>48000*0.76039</f>
        <v>36498.72</v>
      </c>
      <c r="H54" s="268">
        <f>50000*0.76039</f>
        <v>38019.5</v>
      </c>
      <c r="I54" s="267">
        <f>110000*0.76039</f>
        <v>83642.9</v>
      </c>
      <c r="J54" s="267">
        <f>54000*0.76039</f>
        <v>41061.06</v>
      </c>
      <c r="K54" s="267">
        <f>56000*0.76039</f>
        <v>42581.840000000004</v>
      </c>
      <c r="L54" s="267">
        <f>58000*0.76039</f>
        <v>44102.62</v>
      </c>
      <c r="M54" s="267">
        <f>60000*0.76039</f>
        <v>45623.4</v>
      </c>
      <c r="N54" s="267">
        <f>62000*0.76039</f>
        <v>47144.18</v>
      </c>
      <c r="O54" s="267">
        <f>64000*0.76039</f>
        <v>48664.96</v>
      </c>
      <c r="P54" s="267">
        <f>66000*0.76039</f>
        <v>50185.74</v>
      </c>
      <c r="Q54" s="267">
        <f>68000*0.76039</f>
        <v>51706.520000000004</v>
      </c>
      <c r="R54" s="267">
        <f>70000*0.76039</f>
        <v>53227.3</v>
      </c>
      <c r="S54" s="267">
        <f>72000*0.76039</f>
        <v>54748.08</v>
      </c>
      <c r="T54" s="267">
        <f>74000*0.76039</f>
        <v>56268.86</v>
      </c>
      <c r="U54" s="267">
        <f>76000*0.76039</f>
        <v>57789.64</v>
      </c>
      <c r="V54" s="267"/>
      <c r="W54" s="248"/>
      <c r="X54" s="248"/>
      <c r="Y54" s="248"/>
      <c r="Z54" s="248"/>
      <c r="AA54" s="248"/>
      <c r="AB54" s="248"/>
    </row>
    <row r="55" spans="1:28" ht="15.75" hidden="1">
      <c r="A55" s="251" t="s">
        <v>199</v>
      </c>
      <c r="B55" s="267"/>
      <c r="C55" s="267"/>
      <c r="D55" s="267"/>
      <c r="E55" s="267"/>
      <c r="F55" s="267"/>
      <c r="G55" s="267"/>
      <c r="H55" s="268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48"/>
      <c r="X55" s="248"/>
      <c r="Y55" s="248"/>
      <c r="Z55" s="248"/>
      <c r="AA55" s="248"/>
      <c r="AB55" s="248"/>
    </row>
    <row r="56" spans="1:28" ht="15.75" hidden="1">
      <c r="A56" s="251" t="s">
        <v>200</v>
      </c>
      <c r="B56" s="267"/>
      <c r="C56" s="267"/>
      <c r="D56" s="267"/>
      <c r="E56" s="267"/>
      <c r="F56" s="267"/>
      <c r="G56" s="267"/>
      <c r="H56" s="268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48"/>
      <c r="X56" s="248"/>
      <c r="Y56" s="248"/>
      <c r="Z56" s="248"/>
      <c r="AA56" s="248"/>
      <c r="AB56" s="248"/>
    </row>
    <row r="57" spans="1:28" ht="15.75">
      <c r="A57" s="251" t="s">
        <v>201</v>
      </c>
      <c r="B57" s="267"/>
      <c r="C57" s="267"/>
      <c r="D57" s="267"/>
      <c r="E57" s="267">
        <f>45000*0.76039</f>
        <v>34217.55</v>
      </c>
      <c r="F57" s="267">
        <f>34000*0.76039+(34000*0.76039)</f>
        <v>51706.520000000004</v>
      </c>
      <c r="G57" s="267">
        <f>60000*0.76039</f>
        <v>45623.4</v>
      </c>
      <c r="H57" s="268"/>
      <c r="I57" s="267">
        <f>152000*0.76039</f>
        <v>115579.28</v>
      </c>
      <c r="K57" s="267">
        <f>64000*0.76039</f>
        <v>48664.96</v>
      </c>
      <c r="L57" s="267"/>
      <c r="M57" s="267"/>
      <c r="N57" s="267">
        <f>35000*0.76039</f>
        <v>26613.65</v>
      </c>
      <c r="O57" s="267">
        <f>87000*0.76039</f>
        <v>66153.93000000001</v>
      </c>
      <c r="P57" s="267">
        <f>76000*0.76039</f>
        <v>57789.64</v>
      </c>
      <c r="Q57" s="267">
        <f>92000*0.76039</f>
        <v>69955.88</v>
      </c>
      <c r="R57" s="267">
        <f>95000*0.76039</f>
        <v>72237.05</v>
      </c>
      <c r="S57" s="267">
        <f>98000*0.76039</f>
        <v>74518.22</v>
      </c>
      <c r="T57" s="267">
        <f>101000*0.76039</f>
        <v>76799.39</v>
      </c>
      <c r="U57" s="267">
        <f>148000*0.76039</f>
        <v>112537.72</v>
      </c>
      <c r="V57" s="267"/>
      <c r="W57" s="248"/>
      <c r="X57" s="248"/>
      <c r="Y57" s="248"/>
      <c r="Z57" s="248"/>
      <c r="AA57" s="248"/>
      <c r="AB57" s="248"/>
    </row>
    <row r="58" spans="1:28" ht="15.75" hidden="1">
      <c r="A58" s="251" t="s">
        <v>202</v>
      </c>
      <c r="B58" s="267"/>
      <c r="C58" s="267"/>
      <c r="D58" s="267"/>
      <c r="E58" s="267"/>
      <c r="F58" s="267"/>
      <c r="G58" s="267"/>
      <c r="H58" s="268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48"/>
      <c r="X58" s="248"/>
      <c r="Y58" s="248"/>
      <c r="Z58" s="248"/>
      <c r="AA58" s="248"/>
      <c r="AB58" s="248"/>
    </row>
    <row r="59" spans="1:28" ht="15.75">
      <c r="A59" s="251" t="s">
        <v>203</v>
      </c>
      <c r="B59" s="267"/>
      <c r="C59" s="267"/>
      <c r="D59" s="267">
        <f>40000*0.7563</f>
        <v>30252</v>
      </c>
      <c r="E59" s="267"/>
      <c r="F59" s="267"/>
      <c r="G59" s="267"/>
      <c r="H59" s="268"/>
      <c r="I59" s="267"/>
      <c r="J59" s="267">
        <f>49000*0.76039</f>
        <v>37259.11</v>
      </c>
      <c r="K59" s="267"/>
      <c r="L59" s="267"/>
      <c r="M59" s="267"/>
      <c r="N59" s="267"/>
      <c r="O59" s="267">
        <f>58000*0.76039</f>
        <v>44102.62</v>
      </c>
      <c r="P59" s="267"/>
      <c r="Q59" s="267"/>
      <c r="R59" s="267"/>
      <c r="S59" s="267"/>
      <c r="T59" s="267">
        <f>68000*0.76039</f>
        <v>51706.520000000004</v>
      </c>
      <c r="U59" s="267"/>
      <c r="V59" s="267"/>
      <c r="W59" s="248"/>
      <c r="X59" s="248"/>
      <c r="Y59" s="248"/>
      <c r="Z59" s="248"/>
      <c r="AA59" s="248"/>
      <c r="AB59" s="248"/>
    </row>
    <row r="60" spans="1:28" ht="15.75" hidden="1">
      <c r="A60" s="251" t="s">
        <v>204</v>
      </c>
      <c r="B60" s="267"/>
      <c r="C60" s="267"/>
      <c r="D60" s="267"/>
      <c r="E60" s="267"/>
      <c r="F60" s="267"/>
      <c r="G60" s="267"/>
      <c r="H60" s="268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48"/>
      <c r="X60" s="248"/>
      <c r="Y60" s="248"/>
      <c r="Z60" s="248"/>
      <c r="AA60" s="248"/>
      <c r="AB60" s="248"/>
    </row>
    <row r="61" spans="1:28" ht="15.75">
      <c r="A61" s="251" t="s">
        <v>205</v>
      </c>
      <c r="B61" s="267"/>
      <c r="C61" s="267"/>
      <c r="D61" s="267"/>
      <c r="E61" s="267"/>
      <c r="F61" s="267"/>
      <c r="G61" s="267"/>
      <c r="H61" s="268">
        <f>75000*0.76039</f>
        <v>57029.25</v>
      </c>
      <c r="I61" s="267"/>
      <c r="J61" s="267"/>
      <c r="K61" s="267"/>
      <c r="L61" s="267"/>
      <c r="M61" s="267"/>
      <c r="N61" s="267"/>
      <c r="O61" s="267">
        <f>93000*0.76039</f>
        <v>70716.27</v>
      </c>
      <c r="P61" s="267"/>
      <c r="Q61" s="267"/>
      <c r="R61" s="267"/>
      <c r="S61" s="267"/>
      <c r="T61" s="267"/>
      <c r="U61" s="267"/>
      <c r="V61" s="267"/>
      <c r="W61" s="248"/>
      <c r="X61" s="248"/>
      <c r="Y61" s="248"/>
      <c r="Z61" s="248"/>
      <c r="AA61" s="248"/>
      <c r="AB61" s="248"/>
    </row>
    <row r="62" spans="1:28" ht="15.75">
      <c r="A62" s="251" t="s">
        <v>206</v>
      </c>
      <c r="B62" s="267"/>
      <c r="C62" s="267"/>
      <c r="D62" s="267"/>
      <c r="E62" s="267"/>
      <c r="F62" s="267">
        <f>293000*0.76039</f>
        <v>222794.27</v>
      </c>
      <c r="G62" s="267"/>
      <c r="H62" s="268">
        <f>312000*0.76039</f>
        <v>237241.68</v>
      </c>
      <c r="I62" s="267">
        <f>950000*0.76039</f>
        <v>722370.5</v>
      </c>
      <c r="J62" s="267">
        <f>332000*0.76039</f>
        <v>252449.48</v>
      </c>
      <c r="K62" s="267"/>
      <c r="L62" s="267"/>
      <c r="M62" s="267"/>
      <c r="N62" s="267"/>
      <c r="O62" s="267"/>
      <c r="P62" s="267"/>
      <c r="Q62" s="267"/>
      <c r="R62" s="267"/>
      <c r="S62" s="267"/>
      <c r="T62" s="267">
        <f>451000*0.76039</f>
        <v>342935.89</v>
      </c>
      <c r="U62" s="267"/>
      <c r="V62" s="267"/>
      <c r="W62" s="248"/>
      <c r="X62" s="248"/>
      <c r="Y62" s="248"/>
      <c r="Z62" s="248"/>
      <c r="AA62" s="248"/>
      <c r="AB62" s="248"/>
    </row>
    <row r="63" spans="1:28" ht="20.25">
      <c r="A63" s="276" t="s">
        <v>405</v>
      </c>
      <c r="B63" s="269">
        <f aca="true" t="shared" si="13" ref="B63:V63">SUM(B36:B62)</f>
        <v>306000</v>
      </c>
      <c r="C63" s="269">
        <f t="shared" si="13"/>
        <v>402500</v>
      </c>
      <c r="D63" s="281">
        <f t="shared" si="13"/>
        <v>276051.5</v>
      </c>
      <c r="E63" s="281">
        <f t="shared" si="13"/>
        <v>204544.91000000003</v>
      </c>
      <c r="F63" s="281">
        <f t="shared" si="13"/>
        <v>404147.28500000003</v>
      </c>
      <c r="G63" s="281">
        <f t="shared" si="13"/>
        <v>156260.145</v>
      </c>
      <c r="H63" s="282">
        <f t="shared" si="13"/>
        <v>626561.36</v>
      </c>
      <c r="I63" s="249">
        <f t="shared" si="13"/>
        <v>3320052.8375</v>
      </c>
      <c r="J63" s="249">
        <f t="shared" si="13"/>
        <v>451671.66000000003</v>
      </c>
      <c r="K63" s="249">
        <f t="shared" si="13"/>
        <v>351680.375</v>
      </c>
      <c r="L63" s="249">
        <f t="shared" si="13"/>
        <v>226596.22</v>
      </c>
      <c r="M63" s="249">
        <f t="shared" si="13"/>
        <v>217661.63749999998</v>
      </c>
      <c r="N63" s="249">
        <f t="shared" si="13"/>
        <v>142192.93</v>
      </c>
      <c r="O63" s="249">
        <f t="shared" si="13"/>
        <v>718188.3550000001</v>
      </c>
      <c r="P63" s="249">
        <f t="shared" si="13"/>
        <v>199222.18</v>
      </c>
      <c r="Q63" s="249">
        <f t="shared" si="13"/>
        <v>193899.45</v>
      </c>
      <c r="R63" s="249">
        <f t="shared" si="13"/>
        <v>294270.93</v>
      </c>
      <c r="S63" s="249">
        <f t="shared" si="13"/>
        <v>220513.1</v>
      </c>
      <c r="T63" s="249">
        <f t="shared" si="13"/>
        <v>652414.6200000001</v>
      </c>
      <c r="U63" s="249">
        <f t="shared" si="13"/>
        <v>323926.14</v>
      </c>
      <c r="V63" s="249">
        <f t="shared" si="13"/>
        <v>0</v>
      </c>
      <c r="W63" s="248"/>
      <c r="X63" s="248"/>
      <c r="Y63" s="248"/>
      <c r="Z63" s="248"/>
      <c r="AA63" s="248"/>
      <c r="AB63" s="248"/>
    </row>
    <row r="64" spans="1:28" ht="20.25">
      <c r="A64" s="276" t="s">
        <v>402</v>
      </c>
      <c r="B64" s="269">
        <f>317284+537350</f>
        <v>854634</v>
      </c>
      <c r="C64" s="269">
        <f>28159+16350+499825+37525</f>
        <v>581859</v>
      </c>
      <c r="D64" s="281">
        <f>502525+35200+221350+13275</f>
        <v>772350</v>
      </c>
      <c r="E64" s="281">
        <f>505200+30500+223275+10125+250000</f>
        <v>1019100</v>
      </c>
      <c r="F64" s="281">
        <f>510500+25700+230125+6825+250000</f>
        <v>1023150</v>
      </c>
      <c r="G64" s="281">
        <f>515700+20800+231825+3450+250000</f>
        <v>1021775</v>
      </c>
      <c r="H64" s="282">
        <f>520800+15800+233450+250000</f>
        <v>1020050</v>
      </c>
      <c r="I64" s="249">
        <f>530800+10650+250000</f>
        <v>791450</v>
      </c>
      <c r="J64" s="249">
        <f>535650+5400</f>
        <v>541050</v>
      </c>
      <c r="K64" s="249">
        <f>545400</f>
        <v>545400</v>
      </c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8"/>
      <c r="X64" s="248"/>
      <c r="Y64" s="248"/>
      <c r="Z64" s="248"/>
      <c r="AA64" s="248"/>
      <c r="AB64" s="248"/>
    </row>
    <row r="65" spans="1:28" ht="20.25">
      <c r="A65" s="276" t="s">
        <v>406</v>
      </c>
      <c r="B65" s="252">
        <f aca="true" t="shared" si="14" ref="B65:V65">B63+B64</f>
        <v>1160634</v>
      </c>
      <c r="C65" s="252">
        <f t="shared" si="14"/>
        <v>984359</v>
      </c>
      <c r="D65" s="281">
        <f t="shared" si="14"/>
        <v>1048401.5</v>
      </c>
      <c r="E65" s="281">
        <f t="shared" si="14"/>
        <v>1223644.9100000001</v>
      </c>
      <c r="F65" s="281">
        <f t="shared" si="14"/>
        <v>1427297.2850000001</v>
      </c>
      <c r="G65" s="281">
        <f t="shared" si="14"/>
        <v>1178035.145</v>
      </c>
      <c r="H65" s="282">
        <f t="shared" si="14"/>
        <v>1646611.3599999999</v>
      </c>
      <c r="I65" s="252">
        <f t="shared" si="14"/>
        <v>4111502.8375</v>
      </c>
      <c r="J65" s="252">
        <f t="shared" si="14"/>
        <v>992721.66</v>
      </c>
      <c r="K65" s="252">
        <f t="shared" si="14"/>
        <v>897080.375</v>
      </c>
      <c r="L65" s="252">
        <f t="shared" si="14"/>
        <v>226596.22</v>
      </c>
      <c r="M65" s="252">
        <f t="shared" si="14"/>
        <v>217661.63749999998</v>
      </c>
      <c r="N65" s="252">
        <f t="shared" si="14"/>
        <v>142192.93</v>
      </c>
      <c r="O65" s="252">
        <f t="shared" si="14"/>
        <v>718188.3550000001</v>
      </c>
      <c r="P65" s="252">
        <f t="shared" si="14"/>
        <v>199222.18</v>
      </c>
      <c r="Q65" s="252">
        <f t="shared" si="14"/>
        <v>193899.45</v>
      </c>
      <c r="R65" s="252">
        <f t="shared" si="14"/>
        <v>294270.93</v>
      </c>
      <c r="S65" s="252">
        <f t="shared" si="14"/>
        <v>220513.1</v>
      </c>
      <c r="T65" s="252">
        <f t="shared" si="14"/>
        <v>652414.6200000001</v>
      </c>
      <c r="U65" s="252">
        <f t="shared" si="14"/>
        <v>323926.14</v>
      </c>
      <c r="V65" s="252">
        <f t="shared" si="14"/>
        <v>0</v>
      </c>
      <c r="W65" s="248"/>
      <c r="X65" s="248"/>
      <c r="Y65" s="248"/>
      <c r="Z65" s="248"/>
      <c r="AA65" s="248"/>
      <c r="AB65" s="248"/>
    </row>
    <row r="66" spans="1:28" ht="21" thickBot="1">
      <c r="A66" s="258" t="s">
        <v>207</v>
      </c>
      <c r="B66" s="253">
        <f aca="true" t="shared" si="15" ref="B66:V66">B17-B65</f>
        <v>1064583</v>
      </c>
      <c r="C66" s="253">
        <f t="shared" si="15"/>
        <v>2463982</v>
      </c>
      <c r="D66" s="287">
        <f t="shared" si="15"/>
        <v>2598558.5</v>
      </c>
      <c r="E66" s="287">
        <f t="shared" si="15"/>
        <v>2511148.59</v>
      </c>
      <c r="F66" s="287">
        <f t="shared" si="15"/>
        <v>2162428.3049999997</v>
      </c>
      <c r="G66" s="287">
        <f t="shared" si="15"/>
        <v>1701218.1599999997</v>
      </c>
      <c r="H66" s="288">
        <f t="shared" si="15"/>
        <v>1221271.7999999998</v>
      </c>
      <c r="I66" s="253">
        <f t="shared" si="15"/>
        <v>1230618.9625</v>
      </c>
      <c r="J66" s="253">
        <f t="shared" si="15"/>
        <v>1240367.3024999998</v>
      </c>
      <c r="K66" s="253">
        <f t="shared" si="15"/>
        <v>1219841.9274999998</v>
      </c>
      <c r="L66" s="253">
        <f t="shared" si="15"/>
        <v>1993245.7074999998</v>
      </c>
      <c r="M66" s="253">
        <f t="shared" si="15"/>
        <v>2775584.0699999994</v>
      </c>
      <c r="N66" s="253">
        <f t="shared" si="15"/>
        <v>3633391.139999999</v>
      </c>
      <c r="O66" s="253">
        <f t="shared" si="15"/>
        <v>3915202.7849999988</v>
      </c>
      <c r="P66" s="253">
        <f t="shared" si="15"/>
        <v>4715980.604999999</v>
      </c>
      <c r="Q66" s="253">
        <f t="shared" si="15"/>
        <v>5522081.154999998</v>
      </c>
      <c r="R66" s="253">
        <f t="shared" si="15"/>
        <v>6227810.224999999</v>
      </c>
      <c r="S66" s="253">
        <f t="shared" si="15"/>
        <v>7007297.124999999</v>
      </c>
      <c r="T66" s="253">
        <f t="shared" si="15"/>
        <v>7354882.504999999</v>
      </c>
      <c r="U66" s="253">
        <f t="shared" si="15"/>
        <v>8030956.364999999</v>
      </c>
      <c r="V66" s="253">
        <f t="shared" si="15"/>
        <v>9030956.364999998</v>
      </c>
      <c r="W66" s="248"/>
      <c r="X66" s="248"/>
      <c r="Y66" s="248"/>
      <c r="Z66" s="248"/>
      <c r="AA66" s="248"/>
      <c r="AB66" s="248"/>
    </row>
    <row r="67" spans="1:28" ht="18.75" thickTop="1">
      <c r="A67" s="261" t="s">
        <v>208</v>
      </c>
      <c r="B67" s="267"/>
      <c r="C67" s="267"/>
      <c r="D67" s="267"/>
      <c r="E67" s="267"/>
      <c r="F67" s="267"/>
      <c r="G67" s="267"/>
      <c r="H67" s="26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</row>
    <row r="68" spans="1:28" ht="15.75">
      <c r="A68" s="351" t="s">
        <v>407</v>
      </c>
      <c r="B68" s="352">
        <f aca="true" t="shared" si="16" ref="B68:V68">B7+B12</f>
        <v>601676</v>
      </c>
      <c r="C68" s="352">
        <f t="shared" si="16"/>
        <v>977744</v>
      </c>
      <c r="D68" s="353">
        <f t="shared" si="16"/>
        <v>932978</v>
      </c>
      <c r="E68" s="353">
        <f t="shared" si="16"/>
        <v>1136235</v>
      </c>
      <c r="F68" s="353">
        <f t="shared" si="16"/>
        <v>1078577</v>
      </c>
      <c r="G68" s="353">
        <f t="shared" si="16"/>
        <v>716825</v>
      </c>
      <c r="H68" s="354">
        <f t="shared" si="16"/>
        <v>1166665</v>
      </c>
      <c r="I68" s="247">
        <f t="shared" si="16"/>
        <v>3108441</v>
      </c>
      <c r="J68" s="247">
        <f t="shared" si="16"/>
        <v>754936</v>
      </c>
      <c r="K68" s="247">
        <f t="shared" si="16"/>
        <v>661895</v>
      </c>
      <c r="L68" s="247">
        <f t="shared" si="16"/>
        <v>755000</v>
      </c>
      <c r="M68" s="247">
        <f t="shared" si="16"/>
        <v>755000</v>
      </c>
      <c r="N68" s="247">
        <f t="shared" si="16"/>
        <v>755000</v>
      </c>
      <c r="O68" s="247">
        <f t="shared" si="16"/>
        <v>755000</v>
      </c>
      <c r="P68" s="247">
        <f t="shared" si="16"/>
        <v>755000</v>
      </c>
      <c r="Q68" s="247">
        <f t="shared" si="16"/>
        <v>755000</v>
      </c>
      <c r="R68" s="247">
        <f t="shared" si="16"/>
        <v>755000</v>
      </c>
      <c r="S68" s="247">
        <f t="shared" si="16"/>
        <v>755000</v>
      </c>
      <c r="T68" s="247">
        <f t="shared" si="16"/>
        <v>755000</v>
      </c>
      <c r="U68" s="247">
        <f t="shared" si="16"/>
        <v>755000</v>
      </c>
      <c r="V68" s="247">
        <f t="shared" si="16"/>
        <v>755000</v>
      </c>
      <c r="W68" s="248"/>
      <c r="X68" s="248"/>
      <c r="Y68" s="248"/>
      <c r="Z68" s="248"/>
      <c r="AA68" s="248"/>
      <c r="AB68" s="248"/>
    </row>
    <row r="69" spans="1:28" ht="15.75">
      <c r="A69" s="265" t="s">
        <v>408</v>
      </c>
      <c r="B69" s="266">
        <f aca="true" t="shared" si="17" ref="B69:V69">B8+B13</f>
        <v>126022</v>
      </c>
      <c r="C69" s="266">
        <f t="shared" si="17"/>
        <v>210305</v>
      </c>
      <c r="D69" s="138">
        <f t="shared" si="17"/>
        <v>0</v>
      </c>
      <c r="E69" s="138">
        <f t="shared" si="17"/>
        <v>0</v>
      </c>
      <c r="F69" s="138">
        <f t="shared" si="17"/>
        <v>0</v>
      </c>
      <c r="G69" s="138">
        <f t="shared" si="17"/>
        <v>0</v>
      </c>
      <c r="H69" s="139">
        <f t="shared" si="17"/>
        <v>0</v>
      </c>
      <c r="I69" s="247">
        <f t="shared" si="17"/>
        <v>668903</v>
      </c>
      <c r="J69" s="247">
        <f t="shared" si="17"/>
        <v>162398</v>
      </c>
      <c r="K69" s="247">
        <f t="shared" si="17"/>
        <v>142400</v>
      </c>
      <c r="L69" s="247">
        <f t="shared" si="17"/>
        <v>162500</v>
      </c>
      <c r="M69" s="247">
        <f t="shared" si="17"/>
        <v>162500</v>
      </c>
      <c r="N69" s="247">
        <f t="shared" si="17"/>
        <v>162500</v>
      </c>
      <c r="O69" s="247">
        <f t="shared" si="17"/>
        <v>162500</v>
      </c>
      <c r="P69" s="247">
        <f t="shared" si="17"/>
        <v>162500</v>
      </c>
      <c r="Q69" s="247">
        <f t="shared" si="17"/>
        <v>162500</v>
      </c>
      <c r="R69" s="247">
        <f t="shared" si="17"/>
        <v>162500</v>
      </c>
      <c r="S69" s="247">
        <f t="shared" si="17"/>
        <v>162500</v>
      </c>
      <c r="T69" s="247">
        <f t="shared" si="17"/>
        <v>162500</v>
      </c>
      <c r="U69" s="247">
        <f t="shared" si="17"/>
        <v>162500</v>
      </c>
      <c r="V69" s="247">
        <f t="shared" si="17"/>
        <v>162500</v>
      </c>
      <c r="W69" s="248"/>
      <c r="X69" s="248"/>
      <c r="Y69" s="248"/>
      <c r="Z69" s="248"/>
      <c r="AA69" s="248"/>
      <c r="AB69" s="248"/>
    </row>
    <row r="70" spans="1:28" ht="15.75">
      <c r="A70" s="265" t="s">
        <v>409</v>
      </c>
      <c r="B70" s="266">
        <f aca="true" t="shared" si="18" ref="B70:V70">B9+B14</f>
        <v>68952</v>
      </c>
      <c r="C70" s="266">
        <f t="shared" si="18"/>
        <v>110709</v>
      </c>
      <c r="D70" s="138">
        <f t="shared" si="18"/>
        <v>0</v>
      </c>
      <c r="E70" s="138">
        <f t="shared" si="18"/>
        <v>0</v>
      </c>
      <c r="F70" s="138">
        <f t="shared" si="18"/>
        <v>0</v>
      </c>
      <c r="G70" s="138">
        <f t="shared" si="18"/>
        <v>0</v>
      </c>
      <c r="H70" s="139">
        <f t="shared" si="18"/>
        <v>0</v>
      </c>
      <c r="I70" s="247">
        <f t="shared" si="18"/>
        <v>343506</v>
      </c>
      <c r="J70" s="247">
        <f t="shared" si="18"/>
        <v>85136</v>
      </c>
      <c r="K70" s="247">
        <f t="shared" si="18"/>
        <v>72260</v>
      </c>
      <c r="L70" s="247">
        <f t="shared" si="18"/>
        <v>82500</v>
      </c>
      <c r="M70" s="247">
        <f t="shared" si="18"/>
        <v>82500</v>
      </c>
      <c r="N70" s="247">
        <f t="shared" si="18"/>
        <v>82500</v>
      </c>
      <c r="O70" s="247">
        <f t="shared" si="18"/>
        <v>82500</v>
      </c>
      <c r="P70" s="247">
        <f t="shared" si="18"/>
        <v>82500</v>
      </c>
      <c r="Q70" s="247">
        <f t="shared" si="18"/>
        <v>82500</v>
      </c>
      <c r="R70" s="247">
        <f t="shared" si="18"/>
        <v>82500</v>
      </c>
      <c r="S70" s="247">
        <f t="shared" si="18"/>
        <v>82500</v>
      </c>
      <c r="T70" s="247">
        <f t="shared" si="18"/>
        <v>82500</v>
      </c>
      <c r="U70" s="247">
        <f t="shared" si="18"/>
        <v>82500</v>
      </c>
      <c r="V70" s="247">
        <f t="shared" si="18"/>
        <v>82500</v>
      </c>
      <c r="W70" s="248"/>
      <c r="X70" s="248"/>
      <c r="Y70" s="248"/>
      <c r="Z70" s="248"/>
      <c r="AA70" s="248"/>
      <c r="AB70" s="248"/>
    </row>
    <row r="71" spans="1:28" ht="20.25">
      <c r="A71" s="274"/>
      <c r="B71" s="275">
        <f>SUM(B68:B70)</f>
        <v>796650</v>
      </c>
      <c r="C71" s="275">
        <f aca="true" t="shared" si="19" ref="C71:V71">SUM(C68:C70)</f>
        <v>1298758</v>
      </c>
      <c r="D71" s="285">
        <f t="shared" si="19"/>
        <v>932978</v>
      </c>
      <c r="E71" s="285">
        <f t="shared" si="19"/>
        <v>1136235</v>
      </c>
      <c r="F71" s="285">
        <f t="shared" si="19"/>
        <v>1078577</v>
      </c>
      <c r="G71" s="285">
        <f t="shared" si="19"/>
        <v>716825</v>
      </c>
      <c r="H71" s="286">
        <f t="shared" si="19"/>
        <v>1166665</v>
      </c>
      <c r="I71" s="254">
        <f t="shared" si="19"/>
        <v>4120850</v>
      </c>
      <c r="J71" s="254">
        <f t="shared" si="19"/>
        <v>1002470</v>
      </c>
      <c r="K71" s="254">
        <f t="shared" si="19"/>
        <v>876555</v>
      </c>
      <c r="L71" s="254">
        <f t="shared" si="19"/>
        <v>1000000</v>
      </c>
      <c r="M71" s="254">
        <f t="shared" si="19"/>
        <v>1000000</v>
      </c>
      <c r="N71" s="254">
        <f t="shared" si="19"/>
        <v>1000000</v>
      </c>
      <c r="O71" s="254">
        <f t="shared" si="19"/>
        <v>1000000</v>
      </c>
      <c r="P71" s="254">
        <f t="shared" si="19"/>
        <v>1000000</v>
      </c>
      <c r="Q71" s="254">
        <f t="shared" si="19"/>
        <v>1000000</v>
      </c>
      <c r="R71" s="254">
        <f t="shared" si="19"/>
        <v>1000000</v>
      </c>
      <c r="S71" s="254">
        <f t="shared" si="19"/>
        <v>1000000</v>
      </c>
      <c r="T71" s="254">
        <f t="shared" si="19"/>
        <v>1000000</v>
      </c>
      <c r="U71" s="254">
        <f t="shared" si="19"/>
        <v>1000000</v>
      </c>
      <c r="V71" s="254">
        <f t="shared" si="19"/>
        <v>1000000</v>
      </c>
      <c r="W71" s="248"/>
      <c r="X71" s="248"/>
      <c r="Y71" s="248"/>
      <c r="Z71" s="248"/>
      <c r="AA71" s="248"/>
      <c r="AB71" s="248"/>
    </row>
    <row r="72" spans="2:28" ht="15.75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</row>
    <row r="73" spans="2:28" ht="15.7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</row>
    <row r="74" spans="2:28" ht="15.75"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</row>
    <row r="75" spans="2:28" ht="15.75"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</row>
    <row r="76" spans="2:28" ht="15.75"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</row>
    <row r="77" spans="2:28" ht="15.75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</row>
    <row r="78" spans="2:28" ht="15.75"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</row>
    <row r="79" spans="2:28" ht="15.75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</row>
    <row r="80" spans="2:28" ht="15.75"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</row>
    <row r="81" spans="2:28" ht="15.75"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</row>
    <row r="82" spans="2:28" ht="15.75"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</row>
    <row r="83" spans="2:28" ht="15.75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</row>
    <row r="84" spans="2:28" ht="15.75"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  <c r="AA84" s="248"/>
      <c r="AB84" s="248"/>
    </row>
    <row r="85" spans="2:28" ht="15.75"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</row>
    <row r="86" spans="2:28" ht="15.75"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</row>
    <row r="87" spans="2:28" ht="15.75"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</row>
    <row r="88" spans="2:28" ht="15.75"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</row>
    <row r="89" spans="2:28" ht="15.75"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</row>
    <row r="90" spans="2:28" ht="15.75"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</row>
    <row r="91" spans="2:28" ht="15.75"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</row>
    <row r="92" spans="2:28" ht="15.75"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</row>
    <row r="93" spans="2:28" ht="15.75"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</row>
    <row r="94" spans="2:28" ht="15.75"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</row>
    <row r="95" spans="2:28" ht="15.75"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</row>
    <row r="96" spans="2:28" ht="15.75"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  <c r="AA96" s="248"/>
      <c r="AB96" s="248"/>
    </row>
    <row r="97" spans="2:28" ht="15.75"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  <c r="AA97" s="248"/>
      <c r="AB97" s="248"/>
    </row>
    <row r="98" spans="2:28" ht="15.75"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</row>
    <row r="99" spans="2:28" ht="15.75"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  <c r="AA99" s="248"/>
      <c r="AB99" s="248"/>
    </row>
    <row r="100" spans="2:28" ht="15.75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  <c r="AA100" s="248"/>
      <c r="AB100" s="248"/>
    </row>
    <row r="101" spans="2:28" ht="15.75"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  <c r="AA101" s="248"/>
      <c r="AB101" s="248"/>
    </row>
    <row r="102" spans="2:28" ht="15.75"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  <c r="AA102" s="248"/>
      <c r="AB102" s="248"/>
    </row>
    <row r="103" spans="2:28" ht="15.75"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  <c r="AA103" s="248"/>
      <c r="AB103" s="248"/>
    </row>
    <row r="104" spans="2:28" ht="15.75"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  <c r="AA104" s="248"/>
      <c r="AB104" s="248"/>
    </row>
    <row r="105" spans="2:28" ht="15.75"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</row>
    <row r="106" spans="2:28" ht="15.75"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</row>
    <row r="107" spans="2:28" ht="15.75"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</row>
    <row r="108" spans="2:28" ht="15.75"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  <c r="AA108" s="248"/>
      <c r="AB108" s="248"/>
    </row>
    <row r="109" spans="2:28" ht="15.75"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</row>
    <row r="110" spans="2:28" ht="15.75"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</row>
    <row r="111" spans="2:28" ht="15.75"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  <c r="AA111" s="248"/>
      <c r="AB111" s="248"/>
    </row>
    <row r="112" spans="2:28" ht="15.75"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</row>
    <row r="113" spans="2:28" ht="15.75"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</row>
    <row r="114" spans="2:28" ht="15.75"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  <c r="AA114" s="248"/>
      <c r="AB114" s="248"/>
    </row>
    <row r="115" spans="2:28" ht="15.75"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  <c r="AA115" s="248"/>
      <c r="AB115" s="248"/>
    </row>
    <row r="116" spans="2:28" ht="15.75"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</row>
    <row r="117" spans="2:28" ht="15.75"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</row>
    <row r="118" spans="2:28" ht="15.75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</row>
    <row r="119" spans="2:28" ht="15.75"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</row>
    <row r="120" spans="2:28" ht="15.75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  <c r="AA120" s="248"/>
      <c r="AB120" s="248"/>
    </row>
    <row r="121" spans="2:28" ht="15.75"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  <c r="AA121" s="248"/>
      <c r="AB121" s="248"/>
    </row>
    <row r="122" spans="2:28" ht="15.75"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</row>
    <row r="123" spans="2:28" ht="15.75">
      <c r="B123" s="248"/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</row>
    <row r="124" spans="2:28" ht="15.75">
      <c r="B124" s="248"/>
      <c r="C124" s="248"/>
      <c r="D124" s="248"/>
      <c r="E124" s="248"/>
      <c r="F124" s="248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</row>
    <row r="125" spans="2:28" ht="15.75"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  <c r="AA125" s="248"/>
      <c r="AB125" s="248"/>
    </row>
    <row r="126" spans="2:28" ht="15.75"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  <c r="AA126" s="248"/>
      <c r="AB126" s="248"/>
    </row>
    <row r="127" spans="2:28" ht="15.75">
      <c r="B127" s="248"/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  <c r="AA127" s="248"/>
      <c r="AB127" s="248"/>
    </row>
    <row r="128" spans="2:28" ht="15.75"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</row>
    <row r="129" spans="2:28" ht="15.75"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  <c r="AA129" s="248"/>
      <c r="AB129" s="248"/>
    </row>
    <row r="130" spans="2:28" ht="15.75">
      <c r="B130" s="248"/>
      <c r="C130" s="248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  <c r="AA130" s="248"/>
      <c r="AB130" s="248"/>
    </row>
    <row r="131" spans="2:28" ht="15.75"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  <c r="AA131" s="248"/>
      <c r="AB131" s="248"/>
    </row>
    <row r="132" spans="2:28" ht="15.75">
      <c r="B132" s="248"/>
      <c r="C132" s="248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  <c r="AA132" s="248"/>
      <c r="AB132" s="248"/>
    </row>
    <row r="133" spans="2:28" ht="15.75"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</row>
    <row r="134" spans="2:28" ht="15.75"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</row>
    <row r="135" spans="2:28" ht="15.75"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</row>
    <row r="136" spans="2:28" ht="15.75"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  <c r="AA136" s="248"/>
      <c r="AB136" s="248"/>
    </row>
    <row r="137" spans="2:28" ht="15.75"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  <c r="AA137" s="248"/>
      <c r="AB137" s="248"/>
    </row>
    <row r="138" spans="2:28" ht="15.75">
      <c r="B138" s="248"/>
      <c r="C138" s="248"/>
      <c r="D138" s="248"/>
      <c r="E138" s="248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  <c r="AA138" s="248"/>
      <c r="AB138" s="248"/>
    </row>
    <row r="139" spans="2:28" ht="15.75">
      <c r="B139" s="248"/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</row>
    <row r="140" spans="2:28" ht="15.75">
      <c r="B140" s="248"/>
      <c r="C140" s="248"/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  <c r="AA140" s="248"/>
      <c r="AB140" s="248"/>
    </row>
    <row r="141" spans="2:28" ht="15.75"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  <c r="AA141" s="248"/>
      <c r="AB141" s="248"/>
    </row>
    <row r="142" spans="2:28" ht="15.75">
      <c r="B142" s="248"/>
      <c r="C142" s="248"/>
      <c r="D142" s="248"/>
      <c r="E142" s="248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  <c r="AA142" s="248"/>
      <c r="AB142" s="248"/>
    </row>
    <row r="143" spans="2:28" ht="15.75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</row>
    <row r="144" spans="2:28" ht="15.75"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  <c r="AA144" s="248"/>
      <c r="AB144" s="248"/>
    </row>
    <row r="145" spans="2:28" ht="15.75">
      <c r="B145" s="248"/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</row>
    <row r="146" spans="2:28" ht="15.75">
      <c r="B146" s="248"/>
      <c r="C146" s="248"/>
      <c r="D146" s="248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  <c r="AA146" s="248"/>
      <c r="AB146" s="248"/>
    </row>
    <row r="147" spans="2:28" ht="15.75">
      <c r="B147" s="248"/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</row>
    <row r="148" spans="2:28" ht="15.75">
      <c r="B148" s="248"/>
      <c r="C148" s="248"/>
      <c r="D148" s="248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8"/>
    </row>
    <row r="149" spans="2:28" ht="15.75"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</row>
    <row r="150" spans="2:28" ht="15.75"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</row>
    <row r="151" spans="2:28" ht="15.75"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</row>
    <row r="152" spans="2:28" ht="15.75"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</row>
    <row r="153" spans="2:28" ht="15.75"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</row>
    <row r="154" spans="2:28" ht="15.75">
      <c r="B154" s="248"/>
      <c r="C154" s="248"/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</row>
    <row r="155" spans="2:28" ht="15.75"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</row>
    <row r="156" spans="2:28" ht="15.75">
      <c r="B156" s="248"/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</row>
    <row r="157" spans="2:28" ht="15.75">
      <c r="B157" s="248"/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</row>
    <row r="158" spans="2:28" ht="15.75">
      <c r="B158" s="248"/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</row>
    <row r="159" spans="2:28" ht="15.75"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</row>
    <row r="160" spans="2:28" ht="15.75"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</row>
    <row r="161" spans="2:28" ht="15.75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</row>
    <row r="162" spans="2:28" ht="15.75">
      <c r="B162" s="248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  <c r="AA162" s="248"/>
      <c r="AB162" s="248"/>
    </row>
    <row r="163" spans="2:28" ht="15.75">
      <c r="B163" s="248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  <c r="AA163" s="248"/>
      <c r="AB163" s="248"/>
    </row>
    <row r="164" spans="2:28" ht="15.75"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  <c r="AA164" s="248"/>
      <c r="AB164" s="248"/>
    </row>
    <row r="165" spans="2:28" ht="15.75"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  <c r="AA165" s="248"/>
      <c r="AB165" s="248"/>
    </row>
    <row r="166" spans="2:28" ht="15.75">
      <c r="B166" s="248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  <c r="AA166" s="248"/>
      <c r="AB166" s="248"/>
    </row>
    <row r="167" spans="2:28" ht="15.75"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</row>
    <row r="168" spans="2:28" ht="15.75"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</row>
    <row r="169" spans="2:28" ht="15.75">
      <c r="B169" s="248"/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8"/>
      <c r="AB169" s="248"/>
    </row>
    <row r="170" spans="2:28" ht="15.75"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</row>
    <row r="171" spans="2:28" ht="15.75"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</row>
    <row r="172" spans="2:28" ht="15.75"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  <c r="AA172" s="248"/>
      <c r="AB172" s="248"/>
    </row>
    <row r="173" spans="2:28" ht="15.75"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  <c r="T173" s="248"/>
      <c r="U173" s="248"/>
      <c r="V173" s="248"/>
      <c r="W173" s="248"/>
      <c r="X173" s="248"/>
      <c r="Y173" s="248"/>
      <c r="Z173" s="248"/>
      <c r="AA173" s="248"/>
      <c r="AB173" s="248"/>
    </row>
    <row r="174" spans="2:28" ht="15.75"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</row>
    <row r="175" spans="2:28" ht="15.75">
      <c r="B175" s="248"/>
      <c r="C175" s="248"/>
      <c r="D175" s="248"/>
      <c r="E175" s="248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  <c r="AA175" s="248"/>
      <c r="AB175" s="248"/>
    </row>
    <row r="176" spans="2:28" ht="15.75">
      <c r="B176" s="248"/>
      <c r="C176" s="248"/>
      <c r="D176" s="248"/>
      <c r="E176" s="248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48"/>
      <c r="AA176" s="248"/>
      <c r="AB176" s="248"/>
    </row>
    <row r="177" spans="2:28" ht="15.75">
      <c r="B177" s="248"/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  <c r="AA177" s="248"/>
      <c r="AB177" s="248"/>
    </row>
    <row r="178" spans="2:28" ht="15.75"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</row>
    <row r="179" spans="2:28" ht="15.75">
      <c r="B179" s="248"/>
      <c r="C179" s="248"/>
      <c r="D179" s="248"/>
      <c r="E179" s="248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  <c r="AA179" s="248"/>
      <c r="AB179" s="248"/>
    </row>
    <row r="180" spans="2:28" ht="15.75">
      <c r="B180" s="248"/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  <c r="AA180" s="248"/>
      <c r="AB180" s="248"/>
    </row>
    <row r="181" spans="2:28" ht="15.75"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  <c r="X181" s="248"/>
      <c r="Y181" s="248"/>
      <c r="Z181" s="248"/>
      <c r="AA181" s="248"/>
      <c r="AB181" s="248"/>
    </row>
    <row r="182" spans="2:28" ht="15.75">
      <c r="B182" s="248"/>
      <c r="C182" s="248"/>
      <c r="D182" s="248"/>
      <c r="E182" s="248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48"/>
      <c r="T182" s="248"/>
      <c r="U182" s="248"/>
      <c r="V182" s="248"/>
      <c r="W182" s="248"/>
      <c r="X182" s="248"/>
      <c r="Y182" s="248"/>
      <c r="Z182" s="248"/>
      <c r="AA182" s="248"/>
      <c r="AB182" s="248"/>
    </row>
    <row r="183" spans="2:28" ht="15.75"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8"/>
      <c r="Z183" s="248"/>
      <c r="AA183" s="248"/>
      <c r="AB183" s="248"/>
    </row>
    <row r="184" spans="2:28" ht="15.75"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248"/>
      <c r="U184" s="248"/>
      <c r="V184" s="248"/>
      <c r="W184" s="248"/>
      <c r="X184" s="248"/>
      <c r="Y184" s="248"/>
      <c r="Z184" s="248"/>
      <c r="AA184" s="248"/>
      <c r="AB184" s="248"/>
    </row>
    <row r="185" spans="2:28" ht="15.75"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  <c r="AA185" s="248"/>
      <c r="AB185" s="248"/>
    </row>
    <row r="186" spans="2:28" ht="15.75"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48"/>
      <c r="AA186" s="248"/>
      <c r="AB186" s="248"/>
    </row>
    <row r="187" spans="2:28" ht="15.75">
      <c r="B187" s="248"/>
      <c r="C187" s="248"/>
      <c r="D187" s="248"/>
      <c r="E187" s="248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  <c r="Q187" s="248"/>
      <c r="R187" s="248"/>
      <c r="S187" s="248"/>
      <c r="T187" s="248"/>
      <c r="U187" s="248"/>
      <c r="V187" s="248"/>
      <c r="W187" s="248"/>
      <c r="X187" s="248"/>
      <c r="Y187" s="248"/>
      <c r="Z187" s="248"/>
      <c r="AA187" s="248"/>
      <c r="AB187" s="248"/>
    </row>
    <row r="188" spans="2:28" ht="15.75">
      <c r="B188" s="248"/>
      <c r="C188" s="248"/>
      <c r="D188" s="248"/>
      <c r="E188" s="248"/>
      <c r="F188" s="248"/>
      <c r="G188" s="248"/>
      <c r="H188" s="248"/>
      <c r="I188" s="248"/>
      <c r="J188" s="248"/>
      <c r="K188" s="248"/>
      <c r="L188" s="248"/>
      <c r="M188" s="248"/>
      <c r="N188" s="248"/>
      <c r="O188" s="248"/>
      <c r="P188" s="248"/>
      <c r="Q188" s="248"/>
      <c r="R188" s="248"/>
      <c r="S188" s="248"/>
      <c r="T188" s="248"/>
      <c r="U188" s="248"/>
      <c r="V188" s="248"/>
      <c r="W188" s="248"/>
      <c r="X188" s="248"/>
      <c r="Y188" s="248"/>
      <c r="Z188" s="248"/>
      <c r="AA188" s="248"/>
      <c r="AB188" s="248"/>
    </row>
    <row r="189" spans="2:28" ht="15.75"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  <c r="AA189" s="248"/>
      <c r="AB189" s="248"/>
    </row>
    <row r="190" spans="2:28" ht="15.75"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  <c r="AA190" s="248"/>
      <c r="AB190" s="248"/>
    </row>
    <row r="191" spans="2:28" ht="15.75"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8"/>
      <c r="Z191" s="248"/>
      <c r="AA191" s="248"/>
      <c r="AB191" s="248"/>
    </row>
    <row r="192" spans="2:28" ht="15.75">
      <c r="B192" s="248"/>
      <c r="C192" s="248"/>
      <c r="D192" s="248"/>
      <c r="E192" s="248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  <c r="AA192" s="248"/>
      <c r="AB192" s="248"/>
    </row>
    <row r="193" spans="2:28" ht="15.75">
      <c r="B193" s="248"/>
      <c r="C193" s="248"/>
      <c r="D193" s="248"/>
      <c r="E193" s="248"/>
      <c r="F193" s="248"/>
      <c r="G193" s="248"/>
      <c r="H193" s="248"/>
      <c r="I193" s="248"/>
      <c r="J193" s="248"/>
      <c r="K193" s="248"/>
      <c r="L193" s="248"/>
      <c r="M193" s="248"/>
      <c r="N193" s="248"/>
      <c r="O193" s="248"/>
      <c r="P193" s="248"/>
      <c r="Q193" s="248"/>
      <c r="R193" s="248"/>
      <c r="S193" s="248"/>
      <c r="T193" s="248"/>
      <c r="U193" s="248"/>
      <c r="V193" s="248"/>
      <c r="W193" s="248"/>
      <c r="X193" s="248"/>
      <c r="Y193" s="248"/>
      <c r="Z193" s="248"/>
      <c r="AA193" s="248"/>
      <c r="AB193" s="248"/>
    </row>
    <row r="194" spans="2:28" ht="15.75">
      <c r="B194" s="248"/>
      <c r="C194" s="248"/>
      <c r="D194" s="248"/>
      <c r="E194" s="248"/>
      <c r="F194" s="248"/>
      <c r="G194" s="248"/>
      <c r="H194" s="248"/>
      <c r="I194" s="248"/>
      <c r="J194" s="248"/>
      <c r="K194" s="248"/>
      <c r="L194" s="248"/>
      <c r="M194" s="248"/>
      <c r="N194" s="248"/>
      <c r="O194" s="248"/>
      <c r="P194" s="248"/>
      <c r="Q194" s="248"/>
      <c r="R194" s="248"/>
      <c r="S194" s="248"/>
      <c r="T194" s="248"/>
      <c r="U194" s="248"/>
      <c r="V194" s="248"/>
      <c r="W194" s="248"/>
      <c r="X194" s="248"/>
      <c r="Y194" s="248"/>
      <c r="Z194" s="248"/>
      <c r="AA194" s="248"/>
      <c r="AB194" s="248"/>
    </row>
    <row r="195" spans="2:28" ht="15.75">
      <c r="B195" s="248"/>
      <c r="C195" s="248"/>
      <c r="D195" s="248"/>
      <c r="E195" s="248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  <c r="AA195" s="248"/>
      <c r="AB195" s="248"/>
    </row>
    <row r="196" spans="2:28" ht="15.75">
      <c r="B196" s="248"/>
      <c r="C196" s="248"/>
      <c r="D196" s="248"/>
      <c r="E196" s="248"/>
      <c r="F196" s="248"/>
      <c r="G196" s="248"/>
      <c r="H196" s="248"/>
      <c r="I196" s="248"/>
      <c r="J196" s="248"/>
      <c r="K196" s="248"/>
      <c r="L196" s="248"/>
      <c r="M196" s="248"/>
      <c r="N196" s="248"/>
      <c r="O196" s="248"/>
      <c r="P196" s="248"/>
      <c r="Q196" s="248"/>
      <c r="R196" s="248"/>
      <c r="S196" s="248"/>
      <c r="T196" s="248"/>
      <c r="U196" s="248"/>
      <c r="V196" s="248"/>
      <c r="W196" s="248"/>
      <c r="X196" s="248"/>
      <c r="Y196" s="248"/>
      <c r="Z196" s="248"/>
      <c r="AA196" s="248"/>
      <c r="AB196" s="248"/>
    </row>
    <row r="197" spans="2:28" ht="15.75">
      <c r="B197" s="248"/>
      <c r="C197" s="248"/>
      <c r="D197" s="248"/>
      <c r="E197" s="248"/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  <c r="X197" s="248"/>
      <c r="Y197" s="248"/>
      <c r="Z197" s="248"/>
      <c r="AA197" s="248"/>
      <c r="AB197" s="248"/>
    </row>
    <row r="198" spans="2:28" ht="15.75">
      <c r="B198" s="248"/>
      <c r="C198" s="248"/>
      <c r="D198" s="248"/>
      <c r="E198" s="248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8"/>
      <c r="Z198" s="248"/>
      <c r="AA198" s="248"/>
      <c r="AB198" s="248"/>
    </row>
    <row r="199" spans="2:28" ht="15.75">
      <c r="B199" s="248"/>
      <c r="C199" s="248"/>
      <c r="D199" s="248"/>
      <c r="E199" s="248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/>
      <c r="P199" s="248"/>
      <c r="Q199" s="248"/>
      <c r="R199" s="248"/>
      <c r="S199" s="248"/>
      <c r="T199" s="248"/>
      <c r="U199" s="248"/>
      <c r="V199" s="248"/>
      <c r="W199" s="248"/>
      <c r="X199" s="248"/>
      <c r="Y199" s="248"/>
      <c r="Z199" s="248"/>
      <c r="AA199" s="248"/>
      <c r="AB199" s="248"/>
    </row>
    <row r="200" spans="2:28" ht="15.75">
      <c r="B200" s="248"/>
      <c r="C200" s="248"/>
      <c r="D200" s="248"/>
      <c r="E200" s="248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  <c r="AA200" s="248"/>
      <c r="AB200" s="248"/>
    </row>
    <row r="201" spans="2:28" ht="15.75">
      <c r="B201" s="248"/>
      <c r="C201" s="248"/>
      <c r="D201" s="248"/>
      <c r="E201" s="248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  <c r="AA201" s="248"/>
      <c r="AB201" s="248"/>
    </row>
    <row r="202" spans="2:28" ht="15.75">
      <c r="B202" s="248"/>
      <c r="C202" s="248"/>
      <c r="D202" s="248"/>
      <c r="E202" s="248"/>
      <c r="F202" s="248"/>
      <c r="G202" s="248"/>
      <c r="H202" s="248"/>
      <c r="I202" s="248"/>
      <c r="J202" s="248"/>
      <c r="K202" s="248"/>
      <c r="L202" s="248"/>
      <c r="M202" s="248"/>
      <c r="N202" s="248"/>
      <c r="O202" s="248"/>
      <c r="P202" s="248"/>
      <c r="Q202" s="248"/>
      <c r="R202" s="248"/>
      <c r="S202" s="248"/>
      <c r="T202" s="248"/>
      <c r="U202" s="248"/>
      <c r="V202" s="248"/>
      <c r="W202" s="248"/>
      <c r="X202" s="248"/>
      <c r="Y202" s="248"/>
      <c r="Z202" s="248"/>
      <c r="AA202" s="248"/>
      <c r="AB202" s="248"/>
    </row>
    <row r="203" spans="2:28" ht="15.75">
      <c r="B203" s="248"/>
      <c r="C203" s="248"/>
      <c r="D203" s="248"/>
      <c r="E203" s="248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  <c r="P203" s="248"/>
      <c r="Q203" s="248"/>
      <c r="R203" s="248"/>
      <c r="S203" s="248"/>
      <c r="T203" s="248"/>
      <c r="U203" s="248"/>
      <c r="V203" s="248"/>
      <c r="W203" s="248"/>
      <c r="X203" s="248"/>
      <c r="Y203" s="248"/>
      <c r="Z203" s="248"/>
      <c r="AA203" s="248"/>
      <c r="AB203" s="248"/>
    </row>
    <row r="204" spans="2:28" ht="15.75">
      <c r="B204" s="248"/>
      <c r="C204" s="248"/>
      <c r="D204" s="248"/>
      <c r="E204" s="248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248"/>
    </row>
    <row r="205" spans="2:28" ht="15.75"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  <c r="AA205" s="248"/>
      <c r="AB205" s="248"/>
    </row>
    <row r="206" spans="2:28" ht="15.75">
      <c r="B206" s="248"/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  <c r="P206" s="248"/>
      <c r="Q206" s="248"/>
      <c r="R206" s="248"/>
      <c r="S206" s="248"/>
      <c r="T206" s="248"/>
      <c r="U206" s="248"/>
      <c r="V206" s="248"/>
      <c r="W206" s="248"/>
      <c r="X206" s="248"/>
      <c r="Y206" s="248"/>
      <c r="Z206" s="248"/>
      <c r="AA206" s="248"/>
      <c r="AB206" s="248"/>
    </row>
    <row r="207" spans="2:28" ht="15.75">
      <c r="B207" s="248"/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248"/>
      <c r="R207" s="248"/>
      <c r="S207" s="248"/>
      <c r="T207" s="248"/>
      <c r="U207" s="248"/>
      <c r="V207" s="248"/>
      <c r="W207" s="248"/>
      <c r="X207" s="248"/>
      <c r="Y207" s="248"/>
      <c r="Z207" s="248"/>
      <c r="AA207" s="248"/>
      <c r="AB207" s="248"/>
    </row>
    <row r="208" spans="2:28" ht="15.75">
      <c r="B208" s="248"/>
      <c r="C208" s="248"/>
      <c r="D208" s="248"/>
      <c r="E208" s="248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  <c r="P208" s="248"/>
      <c r="Q208" s="248"/>
      <c r="R208" s="248"/>
      <c r="S208" s="248"/>
      <c r="T208" s="248"/>
      <c r="U208" s="248"/>
      <c r="V208" s="248"/>
      <c r="W208" s="248"/>
      <c r="X208" s="248"/>
      <c r="Y208" s="248"/>
      <c r="Z208" s="248"/>
      <c r="AA208" s="248"/>
      <c r="AB208" s="248"/>
    </row>
    <row r="209" spans="2:28" ht="15.75">
      <c r="B209" s="248"/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  <c r="P209" s="248"/>
      <c r="Q209" s="248"/>
      <c r="R209" s="248"/>
      <c r="S209" s="248"/>
      <c r="T209" s="248"/>
      <c r="U209" s="248"/>
      <c r="V209" s="248"/>
      <c r="W209" s="248"/>
      <c r="X209" s="248"/>
      <c r="Y209" s="248"/>
      <c r="Z209" s="248"/>
      <c r="AA209" s="248"/>
      <c r="AB209" s="248"/>
    </row>
    <row r="210" spans="2:28" ht="15.75">
      <c r="B210" s="248"/>
      <c r="C210" s="248"/>
      <c r="D210" s="248"/>
      <c r="E210" s="248"/>
      <c r="F210" s="248"/>
      <c r="G210" s="248"/>
      <c r="H210" s="248"/>
      <c r="I210" s="248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248"/>
      <c r="U210" s="248"/>
      <c r="V210" s="248"/>
      <c r="W210" s="248"/>
      <c r="X210" s="248"/>
      <c r="Y210" s="248"/>
      <c r="Z210" s="248"/>
      <c r="AA210" s="248"/>
      <c r="AB210" s="248"/>
    </row>
    <row r="211" spans="2:28" ht="15.75">
      <c r="B211" s="248"/>
      <c r="C211" s="248"/>
      <c r="D211" s="248"/>
      <c r="E211" s="248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8"/>
      <c r="Q211" s="248"/>
      <c r="R211" s="248"/>
      <c r="S211" s="248"/>
      <c r="T211" s="248"/>
      <c r="U211" s="248"/>
      <c r="V211" s="248"/>
      <c r="W211" s="248"/>
      <c r="X211" s="248"/>
      <c r="Y211" s="248"/>
      <c r="Z211" s="248"/>
      <c r="AA211" s="248"/>
      <c r="AB211" s="248"/>
    </row>
    <row r="212" spans="2:28" ht="15.75">
      <c r="B212" s="248"/>
      <c r="C212" s="248"/>
      <c r="D212" s="248"/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248"/>
      <c r="U212" s="248"/>
      <c r="V212" s="248"/>
      <c r="W212" s="248"/>
      <c r="X212" s="248"/>
      <c r="Y212" s="248"/>
      <c r="Z212" s="248"/>
      <c r="AA212" s="248"/>
      <c r="AB212" s="248"/>
    </row>
    <row r="213" spans="2:28" ht="15.75">
      <c r="B213" s="248"/>
      <c r="C213" s="248"/>
      <c r="D213" s="248"/>
      <c r="E213" s="248"/>
      <c r="F213" s="248"/>
      <c r="G213" s="248"/>
      <c r="H213" s="24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  <c r="AA213" s="248"/>
      <c r="AB213" s="248"/>
    </row>
    <row r="214" spans="2:28" ht="15.75">
      <c r="B214" s="248"/>
      <c r="C214" s="248"/>
      <c r="D214" s="248"/>
      <c r="E214" s="248"/>
      <c r="F214" s="248"/>
      <c r="G214" s="248"/>
      <c r="H214" s="248"/>
      <c r="I214" s="248"/>
      <c r="J214" s="248"/>
      <c r="K214" s="248"/>
      <c r="L214" s="248"/>
      <c r="M214" s="248"/>
      <c r="N214" s="248"/>
      <c r="O214" s="248"/>
      <c r="P214" s="248"/>
      <c r="Q214" s="248"/>
      <c r="R214" s="248"/>
      <c r="S214" s="248"/>
      <c r="T214" s="248"/>
      <c r="U214" s="248"/>
      <c r="V214" s="248"/>
      <c r="W214" s="248"/>
      <c r="X214" s="248"/>
      <c r="Y214" s="248"/>
      <c r="Z214" s="248"/>
      <c r="AA214" s="248"/>
      <c r="AB214" s="248"/>
    </row>
    <row r="215" spans="2:28" ht="15.75">
      <c r="B215" s="248"/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Q215" s="248"/>
      <c r="R215" s="248"/>
      <c r="S215" s="248"/>
      <c r="T215" s="248"/>
      <c r="U215" s="248"/>
      <c r="V215" s="248"/>
      <c r="W215" s="248"/>
      <c r="X215" s="248"/>
      <c r="Y215" s="248"/>
      <c r="Z215" s="248"/>
      <c r="AA215" s="248"/>
      <c r="AB215" s="248"/>
    </row>
    <row r="216" spans="2:28" ht="15.75">
      <c r="B216" s="248"/>
      <c r="C216" s="248"/>
      <c r="D216" s="248"/>
      <c r="E216" s="248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8"/>
      <c r="R216" s="248"/>
      <c r="S216" s="248"/>
      <c r="T216" s="248"/>
      <c r="U216" s="248"/>
      <c r="V216" s="248"/>
      <c r="W216" s="248"/>
      <c r="X216" s="248"/>
      <c r="Y216" s="248"/>
      <c r="Z216" s="248"/>
      <c r="AA216" s="248"/>
      <c r="AB216" s="248"/>
    </row>
    <row r="217" spans="2:28" ht="15.75">
      <c r="B217" s="248"/>
      <c r="C217" s="248"/>
      <c r="D217" s="248"/>
      <c r="E217" s="248"/>
      <c r="F217" s="248"/>
      <c r="G217" s="248"/>
      <c r="H217" s="248"/>
      <c r="I217" s="248"/>
      <c r="J217" s="248"/>
      <c r="K217" s="248"/>
      <c r="L217" s="248"/>
      <c r="M217" s="248"/>
      <c r="N217" s="248"/>
      <c r="O217" s="248"/>
      <c r="P217" s="248"/>
      <c r="Q217" s="248"/>
      <c r="R217" s="248"/>
      <c r="S217" s="248"/>
      <c r="T217" s="248"/>
      <c r="U217" s="248"/>
      <c r="V217" s="248"/>
      <c r="W217" s="248"/>
      <c r="X217" s="248"/>
      <c r="Y217" s="248"/>
      <c r="Z217" s="248"/>
      <c r="AA217" s="248"/>
      <c r="AB217" s="248"/>
    </row>
    <row r="218" spans="2:28" ht="15.75">
      <c r="B218" s="248"/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  <c r="Q218" s="248"/>
      <c r="R218" s="248"/>
      <c r="S218" s="248"/>
      <c r="T218" s="248"/>
      <c r="U218" s="248"/>
      <c r="V218" s="248"/>
      <c r="W218" s="248"/>
      <c r="X218" s="248"/>
      <c r="Y218" s="248"/>
      <c r="Z218" s="248"/>
      <c r="AA218" s="248"/>
      <c r="AB218" s="248"/>
    </row>
    <row r="219" spans="2:28" ht="15.75"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248"/>
      <c r="U219" s="248"/>
      <c r="V219" s="248"/>
      <c r="W219" s="248"/>
      <c r="X219" s="248"/>
      <c r="Y219" s="248"/>
      <c r="Z219" s="248"/>
      <c r="AA219" s="248"/>
      <c r="AB219" s="248"/>
    </row>
    <row r="220" spans="2:28" ht="15.75">
      <c r="B220" s="248"/>
      <c r="C220" s="248"/>
      <c r="D220" s="248"/>
      <c r="E220" s="248"/>
      <c r="F220" s="248"/>
      <c r="G220" s="248"/>
      <c r="H220" s="248"/>
      <c r="I220" s="248"/>
      <c r="J220" s="248"/>
      <c r="K220" s="248"/>
      <c r="L220" s="248"/>
      <c r="M220" s="248"/>
      <c r="N220" s="248"/>
      <c r="O220" s="248"/>
      <c r="P220" s="248"/>
      <c r="Q220" s="248"/>
      <c r="R220" s="248"/>
      <c r="S220" s="248"/>
      <c r="T220" s="248"/>
      <c r="U220" s="248"/>
      <c r="V220" s="248"/>
      <c r="W220" s="248"/>
      <c r="X220" s="248"/>
      <c r="Y220" s="248"/>
      <c r="Z220" s="248"/>
      <c r="AA220" s="248"/>
      <c r="AB220" s="248"/>
    </row>
    <row r="221" spans="2:28" ht="15.75">
      <c r="B221" s="248"/>
      <c r="C221" s="248"/>
      <c r="D221" s="248"/>
      <c r="E221" s="248"/>
      <c r="F221" s="248"/>
      <c r="G221" s="248"/>
      <c r="H221" s="248"/>
      <c r="I221" s="248"/>
      <c r="J221" s="248"/>
      <c r="K221" s="248"/>
      <c r="L221" s="248"/>
      <c r="M221" s="248"/>
      <c r="N221" s="248"/>
      <c r="O221" s="248"/>
      <c r="P221" s="248"/>
      <c r="Q221" s="248"/>
      <c r="R221" s="248"/>
      <c r="S221" s="248"/>
      <c r="T221" s="248"/>
      <c r="U221" s="248"/>
      <c r="V221" s="248"/>
      <c r="W221" s="248"/>
      <c r="X221" s="248"/>
      <c r="Y221" s="248"/>
      <c r="Z221" s="248"/>
      <c r="AA221" s="248"/>
      <c r="AB221" s="248"/>
    </row>
    <row r="222" spans="2:28" ht="15.75">
      <c r="B222" s="248"/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M222" s="248"/>
      <c r="N222" s="248"/>
      <c r="O222" s="248"/>
      <c r="P222" s="248"/>
      <c r="Q222" s="248"/>
      <c r="R222" s="248"/>
      <c r="S222" s="248"/>
      <c r="T222" s="248"/>
      <c r="U222" s="248"/>
      <c r="V222" s="248"/>
      <c r="W222" s="248"/>
      <c r="X222" s="248"/>
      <c r="Y222" s="248"/>
      <c r="Z222" s="248"/>
      <c r="AA222" s="248"/>
      <c r="AB222" s="248"/>
    </row>
    <row r="223" spans="2:28" ht="15.75">
      <c r="B223" s="248"/>
      <c r="C223" s="248"/>
      <c r="D223" s="248"/>
      <c r="E223" s="248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8"/>
      <c r="R223" s="248"/>
      <c r="S223" s="248"/>
      <c r="T223" s="248"/>
      <c r="U223" s="248"/>
      <c r="V223" s="248"/>
      <c r="W223" s="248"/>
      <c r="X223" s="248"/>
      <c r="Y223" s="248"/>
      <c r="Z223" s="248"/>
      <c r="AA223" s="248"/>
      <c r="AB223" s="248"/>
    </row>
    <row r="224" spans="2:28" ht="15.75">
      <c r="B224" s="248"/>
      <c r="C224" s="248"/>
      <c r="D224" s="248"/>
      <c r="E224" s="248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  <c r="AA224" s="248"/>
      <c r="AB224" s="248"/>
    </row>
    <row r="225" spans="2:28" ht="15.75">
      <c r="B225" s="248"/>
      <c r="C225" s="248"/>
      <c r="D225" s="248"/>
      <c r="E225" s="248"/>
      <c r="F225" s="248"/>
      <c r="G225" s="248"/>
      <c r="H225" s="248"/>
      <c r="I225" s="248"/>
      <c r="J225" s="248"/>
      <c r="K225" s="248"/>
      <c r="L225" s="248"/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  <c r="X225" s="248"/>
      <c r="Y225" s="248"/>
      <c r="Z225" s="248"/>
      <c r="AA225" s="248"/>
      <c r="AB225" s="248"/>
    </row>
    <row r="226" spans="2:28" ht="15.75">
      <c r="B226" s="248"/>
      <c r="C226" s="248"/>
      <c r="D226" s="248"/>
      <c r="E226" s="248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8"/>
      <c r="R226" s="248"/>
      <c r="S226" s="248"/>
      <c r="T226" s="248"/>
      <c r="U226" s="248"/>
      <c r="V226" s="248"/>
      <c r="W226" s="248"/>
      <c r="X226" s="248"/>
      <c r="Y226" s="248"/>
      <c r="Z226" s="248"/>
      <c r="AA226" s="248"/>
      <c r="AB226" s="248"/>
    </row>
    <row r="227" spans="2:28" ht="15.75">
      <c r="B227" s="248"/>
      <c r="C227" s="248"/>
      <c r="D227" s="248"/>
      <c r="E227" s="248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  <c r="AA227" s="248"/>
      <c r="AB227" s="248"/>
    </row>
    <row r="228" spans="2:28" ht="15.75">
      <c r="B228" s="248"/>
      <c r="C228" s="248"/>
      <c r="D228" s="248"/>
      <c r="E228" s="248"/>
      <c r="F228" s="248"/>
      <c r="G228" s="248"/>
      <c r="H228" s="248"/>
      <c r="I228" s="248"/>
      <c r="J228" s="248"/>
      <c r="K228" s="248"/>
      <c r="L228" s="248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8"/>
      <c r="X228" s="248"/>
      <c r="Y228" s="248"/>
      <c r="Z228" s="248"/>
      <c r="AA228" s="248"/>
      <c r="AB228" s="248"/>
    </row>
    <row r="229" spans="2:28" ht="15.75">
      <c r="B229" s="248"/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M229" s="248"/>
      <c r="N229" s="248"/>
      <c r="O229" s="248"/>
      <c r="P229" s="248"/>
      <c r="Q229" s="248"/>
      <c r="R229" s="248"/>
      <c r="S229" s="248"/>
      <c r="T229" s="248"/>
      <c r="U229" s="248"/>
      <c r="V229" s="248"/>
      <c r="W229" s="248"/>
      <c r="X229" s="248"/>
      <c r="Y229" s="248"/>
      <c r="Z229" s="248"/>
      <c r="AA229" s="248"/>
      <c r="AB229" s="248"/>
    </row>
    <row r="230" spans="2:28" ht="15.75"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248"/>
    </row>
    <row r="231" spans="2:28" ht="15.75"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  <c r="AA231" s="248"/>
      <c r="AB231" s="248"/>
    </row>
    <row r="232" spans="2:28" ht="15.75">
      <c r="B232" s="248"/>
      <c r="C232" s="248"/>
      <c r="D232" s="248"/>
      <c r="E232" s="248"/>
      <c r="F232" s="248"/>
      <c r="G232" s="248"/>
      <c r="H232" s="248"/>
      <c r="I232" s="248"/>
      <c r="J232" s="248"/>
      <c r="K232" s="248"/>
      <c r="L232" s="248"/>
      <c r="M232" s="248"/>
      <c r="N232" s="248"/>
      <c r="O232" s="248"/>
      <c r="P232" s="248"/>
      <c r="Q232" s="248"/>
      <c r="R232" s="248"/>
      <c r="S232" s="248"/>
      <c r="T232" s="248"/>
      <c r="U232" s="248"/>
      <c r="V232" s="248"/>
      <c r="W232" s="248"/>
      <c r="X232" s="248"/>
      <c r="Y232" s="248"/>
      <c r="Z232" s="248"/>
      <c r="AA232" s="248"/>
      <c r="AB232" s="248"/>
    </row>
    <row r="233" spans="2:28" ht="15.75">
      <c r="B233" s="248"/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</row>
    <row r="234" spans="2:28" ht="15.75">
      <c r="B234" s="248"/>
      <c r="C234" s="248"/>
      <c r="D234" s="248"/>
      <c r="E234" s="248"/>
      <c r="F234" s="248"/>
      <c r="G234" s="248"/>
      <c r="H234" s="24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</row>
    <row r="235" spans="2:28" ht="15.75"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</row>
    <row r="236" spans="2:28" ht="15.75"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M236" s="248"/>
      <c r="N236" s="248"/>
      <c r="O236" s="248"/>
      <c r="P236" s="248"/>
      <c r="Q236" s="248"/>
      <c r="R236" s="248"/>
      <c r="S236" s="248"/>
      <c r="T236" s="248"/>
      <c r="U236" s="248"/>
      <c r="V236" s="248"/>
      <c r="W236" s="248"/>
      <c r="X236" s="248"/>
      <c r="Y236" s="248"/>
      <c r="Z236" s="248"/>
      <c r="AA236" s="248"/>
      <c r="AB236" s="248"/>
    </row>
    <row r="237" spans="2:28" ht="15.75"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  <c r="N237" s="248"/>
      <c r="O237" s="248"/>
      <c r="P237" s="248"/>
      <c r="Q237" s="248"/>
      <c r="R237" s="248"/>
      <c r="S237" s="248"/>
      <c r="T237" s="248"/>
      <c r="U237" s="248"/>
      <c r="V237" s="248"/>
      <c r="W237" s="248"/>
      <c r="X237" s="248"/>
      <c r="Y237" s="248"/>
      <c r="Z237" s="248"/>
      <c r="AA237" s="248"/>
      <c r="AB237" s="248"/>
    </row>
    <row r="238" spans="2:28" ht="15.75"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</row>
    <row r="239" spans="2:28" ht="15.75">
      <c r="B239" s="248"/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8"/>
      <c r="AA239" s="248"/>
      <c r="AB239" s="248"/>
    </row>
    <row r="240" spans="2:28" ht="15.75"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  <c r="AA240" s="248"/>
      <c r="AB240" s="248"/>
    </row>
    <row r="241" spans="2:28" ht="15.75">
      <c r="B241" s="248"/>
      <c r="C241" s="248"/>
      <c r="D241" s="248"/>
      <c r="E241" s="248"/>
      <c r="F241" s="248"/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  <c r="AA241" s="248"/>
      <c r="AB241" s="248"/>
    </row>
    <row r="242" spans="2:28" ht="15.75">
      <c r="B242" s="248"/>
      <c r="C242" s="248"/>
      <c r="D242" s="248"/>
      <c r="E242" s="248"/>
      <c r="F242" s="248"/>
      <c r="G242" s="248"/>
      <c r="H242" s="248"/>
      <c r="I242" s="248"/>
      <c r="J242" s="248"/>
      <c r="K242" s="248"/>
      <c r="L242" s="248"/>
      <c r="M242" s="248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8"/>
      <c r="Z242" s="248"/>
      <c r="AA242" s="248"/>
      <c r="AB242" s="248"/>
    </row>
    <row r="243" spans="2:28" ht="15.75">
      <c r="B243" s="248"/>
      <c r="C243" s="248"/>
      <c r="D243" s="248"/>
      <c r="E243" s="248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8"/>
      <c r="AA243" s="248"/>
      <c r="AB243" s="248"/>
    </row>
    <row r="244" spans="2:28" ht="15.75">
      <c r="B244" s="248"/>
      <c r="C244" s="248"/>
      <c r="D244" s="248"/>
      <c r="E244" s="248"/>
      <c r="F244" s="248"/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248"/>
      <c r="AA244" s="248"/>
      <c r="AB244" s="248"/>
    </row>
    <row r="245" spans="2:28" ht="15.75">
      <c r="B245" s="248"/>
      <c r="C245" s="248"/>
      <c r="D245" s="248"/>
      <c r="E245" s="248"/>
      <c r="F245" s="248"/>
      <c r="G245" s="248"/>
      <c r="H245" s="248"/>
      <c r="I245" s="248"/>
      <c r="J245" s="248"/>
      <c r="K245" s="248"/>
      <c r="L245" s="248"/>
      <c r="M245" s="248"/>
      <c r="N245" s="248"/>
      <c r="O245" s="248"/>
      <c r="P245" s="248"/>
      <c r="Q245" s="248"/>
      <c r="R245" s="248"/>
      <c r="S245" s="248"/>
      <c r="T245" s="248"/>
      <c r="U245" s="248"/>
      <c r="V245" s="248"/>
      <c r="W245" s="248"/>
      <c r="X245" s="248"/>
      <c r="Y245" s="248"/>
      <c r="Z245" s="248"/>
      <c r="AA245" s="248"/>
      <c r="AB245" s="248"/>
    </row>
    <row r="246" spans="2:28" ht="15.75"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  <c r="AA246" s="248"/>
      <c r="AB246" s="248"/>
    </row>
    <row r="247" spans="2:28" ht="15.75">
      <c r="B247" s="248"/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248"/>
      <c r="U247" s="248"/>
      <c r="V247" s="248"/>
      <c r="W247" s="248"/>
      <c r="X247" s="248"/>
      <c r="Y247" s="248"/>
      <c r="Z247" s="248"/>
      <c r="AA247" s="248"/>
      <c r="AB247" s="248"/>
    </row>
    <row r="248" spans="2:28" ht="15.75"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  <c r="M248" s="248"/>
      <c r="N248" s="248"/>
      <c r="O248" s="248"/>
      <c r="P248" s="248"/>
      <c r="Q248" s="248"/>
      <c r="R248" s="248"/>
      <c r="S248" s="248"/>
      <c r="T248" s="248"/>
      <c r="U248" s="248"/>
      <c r="V248" s="248"/>
      <c r="W248" s="248"/>
      <c r="X248" s="248"/>
      <c r="Y248" s="248"/>
      <c r="Z248" s="248"/>
      <c r="AA248" s="248"/>
      <c r="AB248" s="248"/>
    </row>
    <row r="249" spans="2:28" ht="15.75"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  <c r="M249" s="248"/>
      <c r="N249" s="248"/>
      <c r="O249" s="248"/>
      <c r="P249" s="248"/>
      <c r="Q249" s="248"/>
      <c r="R249" s="248"/>
      <c r="S249" s="248"/>
      <c r="T249" s="248"/>
      <c r="U249" s="248"/>
      <c r="V249" s="248"/>
      <c r="W249" s="248"/>
      <c r="X249" s="248"/>
      <c r="Y249" s="248"/>
      <c r="Z249" s="248"/>
      <c r="AA249" s="248"/>
      <c r="AB249" s="248"/>
    </row>
    <row r="250" spans="2:28" ht="15.75"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  <c r="S250" s="248"/>
      <c r="T250" s="248"/>
      <c r="U250" s="248"/>
      <c r="V250" s="248"/>
      <c r="W250" s="248"/>
      <c r="X250" s="248"/>
      <c r="Y250" s="248"/>
      <c r="Z250" s="248"/>
      <c r="AA250" s="248"/>
      <c r="AB250" s="248"/>
    </row>
    <row r="251" spans="2:28" ht="15.75">
      <c r="B251" s="248"/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8"/>
      <c r="Z251" s="248"/>
      <c r="AA251" s="248"/>
      <c r="AB251" s="248"/>
    </row>
    <row r="252" spans="2:28" ht="15.75">
      <c r="B252" s="248"/>
      <c r="C252" s="248"/>
      <c r="D252" s="248"/>
      <c r="E252" s="248"/>
      <c r="F252" s="248"/>
      <c r="G252" s="248"/>
      <c r="H252" s="248"/>
      <c r="I252" s="248"/>
      <c r="J252" s="248"/>
      <c r="K252" s="248"/>
      <c r="L252" s="248"/>
      <c r="M252" s="248"/>
      <c r="N252" s="248"/>
      <c r="O252" s="248"/>
      <c r="P252" s="248"/>
      <c r="Q252" s="248"/>
      <c r="R252" s="248"/>
      <c r="S252" s="248"/>
      <c r="T252" s="248"/>
      <c r="U252" s="248"/>
      <c r="V252" s="248"/>
      <c r="W252" s="248"/>
      <c r="X252" s="248"/>
      <c r="Y252" s="248"/>
      <c r="Z252" s="248"/>
      <c r="AA252" s="248"/>
      <c r="AB252" s="248"/>
    </row>
    <row r="253" spans="2:28" ht="15.75">
      <c r="B253" s="248"/>
      <c r="C253" s="248"/>
      <c r="D253" s="248"/>
      <c r="E253" s="248"/>
      <c r="F253" s="248"/>
      <c r="G253" s="248"/>
      <c r="H253" s="248"/>
      <c r="I253" s="248"/>
      <c r="J253" s="248"/>
      <c r="K253" s="248"/>
      <c r="L253" s="248"/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  <c r="X253" s="248"/>
      <c r="Y253" s="248"/>
      <c r="Z253" s="248"/>
      <c r="AA253" s="248"/>
      <c r="AB253" s="248"/>
    </row>
    <row r="254" spans="2:28" ht="15.75">
      <c r="B254" s="248"/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8"/>
      <c r="V254" s="248"/>
      <c r="W254" s="248"/>
      <c r="X254" s="248"/>
      <c r="Y254" s="248"/>
      <c r="Z254" s="248"/>
      <c r="AA254" s="248"/>
      <c r="AB254" s="248"/>
    </row>
    <row r="255" spans="2:28" ht="15.75"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48"/>
      <c r="U255" s="248"/>
      <c r="V255" s="248"/>
      <c r="W255" s="248"/>
      <c r="X255" s="248"/>
      <c r="Y255" s="248"/>
      <c r="Z255" s="248"/>
      <c r="AA255" s="248"/>
      <c r="AB255" s="248"/>
    </row>
    <row r="256" spans="2:28" ht="15.75">
      <c r="B256" s="248"/>
      <c r="C256" s="248"/>
      <c r="D256" s="248"/>
      <c r="E256" s="248"/>
      <c r="F256" s="248"/>
      <c r="G256" s="248"/>
      <c r="H256" s="248"/>
      <c r="I256" s="248"/>
      <c r="J256" s="248"/>
      <c r="K256" s="248"/>
      <c r="L256" s="248"/>
      <c r="M256" s="248"/>
      <c r="N256" s="248"/>
      <c r="O256" s="248"/>
      <c r="P256" s="248"/>
      <c r="Q256" s="248"/>
      <c r="R256" s="248"/>
      <c r="S256" s="248"/>
      <c r="T256" s="248"/>
      <c r="U256" s="248"/>
      <c r="V256" s="248"/>
      <c r="W256" s="248"/>
      <c r="X256" s="248"/>
      <c r="Y256" s="248"/>
      <c r="Z256" s="248"/>
      <c r="AA256" s="248"/>
      <c r="AB256" s="248"/>
    </row>
    <row r="257" spans="2:28" ht="15.75"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  <c r="M257" s="248"/>
      <c r="N257" s="248"/>
      <c r="O257" s="248"/>
      <c r="P257" s="248"/>
      <c r="Q257" s="248"/>
      <c r="R257" s="248"/>
      <c r="S257" s="248"/>
      <c r="T257" s="248"/>
      <c r="U257" s="248"/>
      <c r="V257" s="248"/>
      <c r="W257" s="248"/>
      <c r="X257" s="248"/>
      <c r="Y257" s="248"/>
      <c r="Z257" s="248"/>
      <c r="AA257" s="248"/>
      <c r="AB257" s="248"/>
    </row>
    <row r="258" spans="2:28" ht="15.75"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  <c r="M258" s="248"/>
      <c r="N258" s="248"/>
      <c r="O258" s="248"/>
      <c r="P258" s="248"/>
      <c r="Q258" s="248"/>
      <c r="R258" s="248"/>
      <c r="S258" s="248"/>
      <c r="T258" s="248"/>
      <c r="U258" s="248"/>
      <c r="V258" s="248"/>
      <c r="W258" s="248"/>
      <c r="X258" s="248"/>
      <c r="Y258" s="248"/>
      <c r="Z258" s="248"/>
      <c r="AA258" s="248"/>
      <c r="AB258" s="248"/>
    </row>
    <row r="259" spans="2:28" ht="15.75"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  <c r="M259" s="248"/>
      <c r="N259" s="248"/>
      <c r="O259" s="248"/>
      <c r="P259" s="248"/>
      <c r="Q259" s="248"/>
      <c r="R259" s="248"/>
      <c r="S259" s="248"/>
      <c r="T259" s="248"/>
      <c r="U259" s="248"/>
      <c r="V259" s="248"/>
      <c r="W259" s="248"/>
      <c r="X259" s="248"/>
      <c r="Y259" s="248"/>
      <c r="Z259" s="248"/>
      <c r="AA259" s="248"/>
      <c r="AB259" s="248"/>
    </row>
    <row r="260" spans="2:28" ht="15.75">
      <c r="B260" s="248"/>
      <c r="C260" s="248"/>
      <c r="D260" s="248"/>
      <c r="E260" s="248"/>
      <c r="F260" s="248"/>
      <c r="G260" s="248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  <c r="AA260" s="248"/>
      <c r="AB260" s="248"/>
    </row>
    <row r="261" spans="2:28" ht="15.75">
      <c r="B261" s="248"/>
      <c r="C261" s="248"/>
      <c r="D261" s="248"/>
      <c r="E261" s="248"/>
      <c r="F261" s="248"/>
      <c r="G261" s="248"/>
      <c r="H261" s="248"/>
      <c r="I261" s="248"/>
      <c r="J261" s="248"/>
      <c r="K261" s="248"/>
      <c r="L261" s="248"/>
      <c r="M261" s="248"/>
      <c r="N261" s="248"/>
      <c r="O261" s="248"/>
      <c r="P261" s="248"/>
      <c r="Q261" s="248"/>
      <c r="R261" s="248"/>
      <c r="S261" s="248"/>
      <c r="T261" s="248"/>
      <c r="U261" s="248"/>
      <c r="V261" s="248"/>
      <c r="W261" s="248"/>
      <c r="X261" s="248"/>
      <c r="Y261" s="248"/>
      <c r="Z261" s="248"/>
      <c r="AA261" s="248"/>
      <c r="AB261" s="248"/>
    </row>
    <row r="262" spans="2:28" ht="15.75">
      <c r="B262" s="248"/>
      <c r="C262" s="248"/>
      <c r="D262" s="248"/>
      <c r="E262" s="248"/>
      <c r="F262" s="248"/>
      <c r="G262" s="248"/>
      <c r="H262" s="248"/>
      <c r="I262" s="248"/>
      <c r="J262" s="248"/>
      <c r="K262" s="248"/>
      <c r="L262" s="248"/>
      <c r="M262" s="248"/>
      <c r="N262" s="248"/>
      <c r="O262" s="248"/>
      <c r="P262" s="248"/>
      <c r="Q262" s="248"/>
      <c r="R262" s="248"/>
      <c r="S262" s="248"/>
      <c r="T262" s="248"/>
      <c r="U262" s="248"/>
      <c r="V262" s="248"/>
      <c r="W262" s="248"/>
      <c r="X262" s="248"/>
      <c r="Y262" s="248"/>
      <c r="Z262" s="248"/>
      <c r="AA262" s="248"/>
      <c r="AB262" s="248"/>
    </row>
    <row r="263" spans="2:28" ht="15.75">
      <c r="B263" s="248"/>
      <c r="C263" s="248"/>
      <c r="D263" s="248"/>
      <c r="E263" s="248"/>
      <c r="F263" s="248"/>
      <c r="G263" s="248"/>
      <c r="H263" s="248"/>
      <c r="I263" s="248"/>
      <c r="J263" s="248"/>
      <c r="K263" s="248"/>
      <c r="L263" s="248"/>
      <c r="M263" s="248"/>
      <c r="N263" s="248"/>
      <c r="O263" s="248"/>
      <c r="P263" s="248"/>
      <c r="Q263" s="248"/>
      <c r="R263" s="248"/>
      <c r="S263" s="248"/>
      <c r="T263" s="248"/>
      <c r="U263" s="248"/>
      <c r="V263" s="248"/>
      <c r="W263" s="248"/>
      <c r="X263" s="248"/>
      <c r="Y263" s="248"/>
      <c r="Z263" s="248"/>
      <c r="AA263" s="248"/>
      <c r="AB263" s="248"/>
    </row>
    <row r="264" spans="2:28" ht="15.75"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  <c r="M264" s="248"/>
      <c r="N264" s="248"/>
      <c r="O264" s="248"/>
      <c r="P264" s="248"/>
      <c r="Q264" s="248"/>
      <c r="R264" s="248"/>
      <c r="S264" s="248"/>
      <c r="T264" s="248"/>
      <c r="U264" s="248"/>
      <c r="V264" s="248"/>
      <c r="W264" s="248"/>
      <c r="X264" s="248"/>
      <c r="Y264" s="248"/>
      <c r="Z264" s="248"/>
      <c r="AA264" s="248"/>
      <c r="AB264" s="248"/>
    </row>
    <row r="265" spans="2:28" ht="15.75">
      <c r="B265" s="248"/>
      <c r="C265" s="248"/>
      <c r="D265" s="248"/>
      <c r="E265" s="248"/>
      <c r="F265" s="248"/>
      <c r="G265" s="248"/>
      <c r="H265" s="248"/>
      <c r="I265" s="248"/>
      <c r="J265" s="248"/>
      <c r="K265" s="248"/>
      <c r="L265" s="248"/>
      <c r="M265" s="248"/>
      <c r="N265" s="248"/>
      <c r="O265" s="248"/>
      <c r="P265" s="248"/>
      <c r="Q265" s="248"/>
      <c r="R265" s="248"/>
      <c r="S265" s="248"/>
      <c r="T265" s="248"/>
      <c r="U265" s="248"/>
      <c r="V265" s="248"/>
      <c r="W265" s="248"/>
      <c r="X265" s="248"/>
      <c r="Y265" s="248"/>
      <c r="Z265" s="248"/>
      <c r="AA265" s="248"/>
      <c r="AB265" s="248"/>
    </row>
    <row r="266" spans="2:28" ht="15.75"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  <c r="L266" s="248"/>
      <c r="M266" s="248"/>
      <c r="N266" s="248"/>
      <c r="O266" s="248"/>
      <c r="P266" s="248"/>
      <c r="Q266" s="248"/>
      <c r="R266" s="248"/>
      <c r="S266" s="248"/>
      <c r="T266" s="248"/>
      <c r="U266" s="248"/>
      <c r="V266" s="248"/>
      <c r="W266" s="248"/>
      <c r="X266" s="248"/>
      <c r="Y266" s="248"/>
      <c r="Z266" s="248"/>
      <c r="AA266" s="248"/>
      <c r="AB266" s="248"/>
    </row>
    <row r="267" spans="2:28" ht="15.75"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  <c r="AA267" s="248"/>
      <c r="AB267" s="248"/>
    </row>
    <row r="268" spans="2:28" ht="15.75">
      <c r="B268" s="248"/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M268" s="248"/>
      <c r="N268" s="248"/>
      <c r="O268" s="248"/>
      <c r="P268" s="248"/>
      <c r="Q268" s="248"/>
      <c r="R268" s="248"/>
      <c r="S268" s="248"/>
      <c r="T268" s="248"/>
      <c r="U268" s="248"/>
      <c r="V268" s="248"/>
      <c r="W268" s="248"/>
      <c r="X268" s="248"/>
      <c r="Y268" s="248"/>
      <c r="Z268" s="248"/>
      <c r="AA268" s="248"/>
      <c r="AB268" s="248"/>
    </row>
    <row r="269" spans="2:28" ht="15.75">
      <c r="B269" s="248"/>
      <c r="C269" s="248"/>
      <c r="D269" s="248"/>
      <c r="E269" s="248"/>
      <c r="F269" s="248"/>
      <c r="G269" s="248"/>
      <c r="H269" s="248"/>
      <c r="I269" s="248"/>
      <c r="J269" s="248"/>
      <c r="K269" s="248"/>
      <c r="L269" s="248"/>
      <c r="M269" s="248"/>
      <c r="N269" s="248"/>
      <c r="O269" s="248"/>
      <c r="P269" s="248"/>
      <c r="Q269" s="248"/>
      <c r="R269" s="248"/>
      <c r="S269" s="248"/>
      <c r="T269" s="248"/>
      <c r="U269" s="248"/>
      <c r="V269" s="248"/>
      <c r="W269" s="248"/>
      <c r="X269" s="248"/>
      <c r="Y269" s="248"/>
      <c r="Z269" s="248"/>
      <c r="AA269" s="248"/>
      <c r="AB269" s="248"/>
    </row>
    <row r="270" spans="2:28" ht="15.75">
      <c r="B270" s="248"/>
      <c r="C270" s="248"/>
      <c r="D270" s="248"/>
      <c r="E270" s="248"/>
      <c r="F270" s="248"/>
      <c r="G270" s="248"/>
      <c r="H270" s="248"/>
      <c r="I270" s="248"/>
      <c r="J270" s="248"/>
      <c r="K270" s="248"/>
      <c r="L270" s="248"/>
      <c r="M270" s="248"/>
      <c r="N270" s="248"/>
      <c r="O270" s="248"/>
      <c r="P270" s="248"/>
      <c r="Q270" s="248"/>
      <c r="R270" s="248"/>
      <c r="S270" s="248"/>
      <c r="T270" s="248"/>
      <c r="U270" s="248"/>
      <c r="V270" s="248"/>
      <c r="W270" s="248"/>
      <c r="X270" s="248"/>
      <c r="Y270" s="248"/>
      <c r="Z270" s="248"/>
      <c r="AA270" s="248"/>
      <c r="AB270" s="248"/>
    </row>
    <row r="271" spans="2:28" ht="15.75"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8"/>
      <c r="M271" s="248"/>
      <c r="N271" s="248"/>
      <c r="O271" s="248"/>
      <c r="P271" s="248"/>
      <c r="Q271" s="248"/>
      <c r="R271" s="248"/>
      <c r="S271" s="248"/>
      <c r="T271" s="248"/>
      <c r="U271" s="248"/>
      <c r="V271" s="248"/>
      <c r="W271" s="248"/>
      <c r="X271" s="248"/>
      <c r="Y271" s="248"/>
      <c r="Z271" s="248"/>
      <c r="AA271" s="248"/>
      <c r="AB271" s="248"/>
    </row>
    <row r="272" spans="2:28" ht="15.75">
      <c r="B272" s="248"/>
      <c r="C272" s="248"/>
      <c r="D272" s="248"/>
      <c r="E272" s="248"/>
      <c r="F272" s="248"/>
      <c r="G272" s="248"/>
      <c r="H272" s="248"/>
      <c r="I272" s="248"/>
      <c r="J272" s="248"/>
      <c r="K272" s="248"/>
      <c r="L272" s="248"/>
      <c r="M272" s="248"/>
      <c r="N272" s="248"/>
      <c r="O272" s="248"/>
      <c r="P272" s="248"/>
      <c r="Q272" s="248"/>
      <c r="R272" s="248"/>
      <c r="S272" s="248"/>
      <c r="T272" s="248"/>
      <c r="U272" s="248"/>
      <c r="V272" s="248"/>
      <c r="W272" s="248"/>
      <c r="X272" s="248"/>
      <c r="Y272" s="248"/>
      <c r="Z272" s="248"/>
      <c r="AA272" s="248"/>
      <c r="AB272" s="248"/>
    </row>
    <row r="273" spans="2:28" ht="15.75"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</row>
    <row r="274" spans="2:28" ht="15.75">
      <c r="B274" s="248"/>
      <c r="C274" s="248"/>
      <c r="D274" s="248"/>
      <c r="E274" s="248"/>
      <c r="F274" s="248"/>
      <c r="G274" s="248"/>
      <c r="H274" s="248"/>
      <c r="I274" s="248"/>
      <c r="J274" s="248"/>
      <c r="K274" s="248"/>
      <c r="L274" s="248"/>
      <c r="M274" s="248"/>
      <c r="N274" s="248"/>
      <c r="O274" s="248"/>
      <c r="P274" s="248"/>
      <c r="Q274" s="248"/>
      <c r="R274" s="248"/>
      <c r="S274" s="248"/>
      <c r="T274" s="248"/>
      <c r="U274" s="248"/>
      <c r="V274" s="248"/>
      <c r="W274" s="248"/>
      <c r="X274" s="248"/>
      <c r="Y274" s="248"/>
      <c r="Z274" s="248"/>
      <c r="AA274" s="248"/>
      <c r="AB274" s="248"/>
    </row>
    <row r="275" spans="2:28" ht="15.75"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48"/>
      <c r="U275" s="248"/>
      <c r="V275" s="248"/>
      <c r="W275" s="248"/>
      <c r="X275" s="248"/>
      <c r="Y275" s="248"/>
      <c r="Z275" s="248"/>
      <c r="AA275" s="248"/>
      <c r="AB275" s="248"/>
    </row>
    <row r="276" spans="2:28" ht="15.75">
      <c r="B276" s="248"/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  <c r="M276" s="248"/>
      <c r="N276" s="248"/>
      <c r="O276" s="248"/>
      <c r="P276" s="248"/>
      <c r="Q276" s="248"/>
      <c r="R276" s="248"/>
      <c r="S276" s="248"/>
      <c r="T276" s="248"/>
      <c r="U276" s="248"/>
      <c r="V276" s="248"/>
      <c r="W276" s="248"/>
      <c r="X276" s="248"/>
      <c r="Y276" s="248"/>
      <c r="Z276" s="248"/>
      <c r="AA276" s="248"/>
      <c r="AB276" s="248"/>
    </row>
    <row r="277" spans="2:28" ht="15.75"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  <c r="M277" s="248"/>
      <c r="N277" s="248"/>
      <c r="O277" s="248"/>
      <c r="P277" s="248"/>
      <c r="Q277" s="248"/>
      <c r="R277" s="248"/>
      <c r="S277" s="248"/>
      <c r="T277" s="248"/>
      <c r="U277" s="248"/>
      <c r="V277" s="248"/>
      <c r="W277" s="248"/>
      <c r="X277" s="248"/>
      <c r="Y277" s="248"/>
      <c r="Z277" s="248"/>
      <c r="AA277" s="248"/>
      <c r="AB277" s="248"/>
    </row>
    <row r="278" spans="2:28" ht="15.75">
      <c r="B278" s="248"/>
      <c r="C278" s="248"/>
      <c r="D278" s="248"/>
      <c r="E278" s="248"/>
      <c r="F278" s="248"/>
      <c r="G278" s="248"/>
      <c r="H278" s="248"/>
      <c r="I278" s="248"/>
      <c r="J278" s="248"/>
      <c r="K278" s="248"/>
      <c r="L278" s="248"/>
      <c r="M278" s="248"/>
      <c r="N278" s="248"/>
      <c r="O278" s="248"/>
      <c r="P278" s="248"/>
      <c r="Q278" s="248"/>
      <c r="R278" s="248"/>
      <c r="S278" s="248"/>
      <c r="T278" s="248"/>
      <c r="U278" s="248"/>
      <c r="V278" s="248"/>
      <c r="W278" s="248"/>
      <c r="X278" s="248"/>
      <c r="Y278" s="248"/>
      <c r="Z278" s="248"/>
      <c r="AA278" s="248"/>
      <c r="AB278" s="248"/>
    </row>
    <row r="279" spans="2:28" ht="15.75">
      <c r="B279" s="248"/>
      <c r="C279" s="248"/>
      <c r="D279" s="248"/>
      <c r="E279" s="248"/>
      <c r="F279" s="248"/>
      <c r="G279" s="248"/>
      <c r="H279" s="248"/>
      <c r="I279" s="248"/>
      <c r="J279" s="248"/>
      <c r="K279" s="248"/>
      <c r="L279" s="248"/>
      <c r="M279" s="248"/>
      <c r="N279" s="248"/>
      <c r="O279" s="248"/>
      <c r="P279" s="248"/>
      <c r="Q279" s="248"/>
      <c r="R279" s="248"/>
      <c r="S279" s="248"/>
      <c r="T279" s="248"/>
      <c r="U279" s="248"/>
      <c r="V279" s="248"/>
      <c r="W279" s="248"/>
      <c r="X279" s="248"/>
      <c r="Y279" s="248"/>
      <c r="Z279" s="248"/>
      <c r="AA279" s="248"/>
      <c r="AB279" s="248"/>
    </row>
    <row r="280" spans="2:28" ht="15.75">
      <c r="B280" s="248"/>
      <c r="C280" s="248"/>
      <c r="D280" s="248"/>
      <c r="E280" s="248"/>
      <c r="F280" s="248"/>
      <c r="G280" s="248"/>
      <c r="H280" s="248"/>
      <c r="I280" s="248"/>
      <c r="J280" s="248"/>
      <c r="K280" s="248"/>
      <c r="L280" s="248"/>
      <c r="M280" s="248"/>
      <c r="N280" s="248"/>
      <c r="O280" s="248"/>
      <c r="P280" s="248"/>
      <c r="Q280" s="248"/>
      <c r="R280" s="248"/>
      <c r="S280" s="248"/>
      <c r="T280" s="248"/>
      <c r="U280" s="248"/>
      <c r="V280" s="248"/>
      <c r="W280" s="248"/>
      <c r="X280" s="248"/>
      <c r="Y280" s="248"/>
      <c r="Z280" s="248"/>
      <c r="AA280" s="248"/>
      <c r="AB280" s="248"/>
    </row>
    <row r="281" spans="2:28" ht="15.75">
      <c r="B281" s="248"/>
      <c r="C281" s="248"/>
      <c r="D281" s="248"/>
      <c r="E281" s="248"/>
      <c r="F281" s="248"/>
      <c r="G281" s="248"/>
      <c r="H281" s="248"/>
      <c r="I281" s="248"/>
      <c r="J281" s="248"/>
      <c r="K281" s="248"/>
      <c r="L281" s="248"/>
      <c r="M281" s="248"/>
      <c r="N281" s="248"/>
      <c r="O281" s="248"/>
      <c r="P281" s="248"/>
      <c r="Q281" s="248"/>
      <c r="R281" s="248"/>
      <c r="S281" s="248"/>
      <c r="T281" s="248"/>
      <c r="U281" s="248"/>
      <c r="V281" s="248"/>
      <c r="W281" s="248"/>
      <c r="X281" s="248"/>
      <c r="Y281" s="248"/>
      <c r="Z281" s="248"/>
      <c r="AA281" s="248"/>
      <c r="AB281" s="248"/>
    </row>
    <row r="282" spans="2:28" ht="15.75">
      <c r="B282" s="248"/>
      <c r="C282" s="248"/>
      <c r="D282" s="248"/>
      <c r="E282" s="248"/>
      <c r="F282" s="248"/>
      <c r="G282" s="248"/>
      <c r="H282" s="248"/>
      <c r="I282" s="248"/>
      <c r="J282" s="248"/>
      <c r="K282" s="248"/>
      <c r="L282" s="248"/>
      <c r="M282" s="248"/>
      <c r="N282" s="248"/>
      <c r="O282" s="248"/>
      <c r="P282" s="248"/>
      <c r="Q282" s="248"/>
      <c r="R282" s="248"/>
      <c r="S282" s="248"/>
      <c r="T282" s="248"/>
      <c r="U282" s="248"/>
      <c r="V282" s="248"/>
      <c r="W282" s="248"/>
      <c r="X282" s="248"/>
      <c r="Y282" s="248"/>
      <c r="Z282" s="248"/>
      <c r="AA282" s="248"/>
      <c r="AB282" s="248"/>
    </row>
    <row r="283" spans="2:28" ht="15.75">
      <c r="B283" s="248"/>
      <c r="C283" s="248"/>
      <c r="D283" s="248"/>
      <c r="E283" s="248"/>
      <c r="F283" s="248"/>
      <c r="G283" s="248"/>
      <c r="H283" s="248"/>
      <c r="I283" s="248"/>
      <c r="J283" s="248"/>
      <c r="K283" s="248"/>
      <c r="L283" s="248"/>
      <c r="M283" s="248"/>
      <c r="N283" s="248"/>
      <c r="O283" s="248"/>
      <c r="P283" s="248"/>
      <c r="Q283" s="248"/>
      <c r="R283" s="248"/>
      <c r="S283" s="248"/>
      <c r="T283" s="248"/>
      <c r="U283" s="248"/>
      <c r="V283" s="248"/>
      <c r="W283" s="248"/>
      <c r="X283" s="248"/>
      <c r="Y283" s="248"/>
      <c r="Z283" s="248"/>
      <c r="AA283" s="248"/>
      <c r="AB283" s="248"/>
    </row>
    <row r="284" spans="2:28" ht="15.75">
      <c r="B284" s="248"/>
      <c r="C284" s="248"/>
      <c r="D284" s="248"/>
      <c r="E284" s="248"/>
      <c r="F284" s="248"/>
      <c r="G284" s="248"/>
      <c r="H284" s="248"/>
      <c r="I284" s="248"/>
      <c r="J284" s="248"/>
      <c r="K284" s="248"/>
      <c r="L284" s="248"/>
      <c r="M284" s="248"/>
      <c r="N284" s="248"/>
      <c r="O284" s="248"/>
      <c r="P284" s="248"/>
      <c r="Q284" s="248"/>
      <c r="R284" s="248"/>
      <c r="S284" s="248"/>
      <c r="T284" s="248"/>
      <c r="U284" s="248"/>
      <c r="V284" s="248"/>
      <c r="W284" s="248"/>
      <c r="X284" s="248"/>
      <c r="Y284" s="248"/>
      <c r="Z284" s="248"/>
      <c r="AA284" s="248"/>
      <c r="AB284" s="248"/>
    </row>
    <row r="285" spans="2:28" ht="15.75">
      <c r="B285" s="248"/>
      <c r="C285" s="248"/>
      <c r="D285" s="248"/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</row>
    <row r="286" spans="2:28" ht="15.75">
      <c r="B286" s="248"/>
      <c r="C286" s="248"/>
      <c r="D286" s="248"/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</row>
    <row r="287" spans="2:28" ht="15.75">
      <c r="B287" s="248"/>
      <c r="C287" s="248"/>
      <c r="D287" s="248"/>
      <c r="E287" s="248"/>
      <c r="F287" s="248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</row>
    <row r="288" spans="2:28" ht="15.75">
      <c r="B288" s="248"/>
      <c r="C288" s="248"/>
      <c r="D288" s="248"/>
      <c r="E288" s="248"/>
      <c r="F288" s="248"/>
      <c r="G288" s="248"/>
      <c r="H288" s="248"/>
      <c r="I288" s="248"/>
      <c r="J288" s="248"/>
      <c r="K288" s="248"/>
      <c r="L288" s="248"/>
      <c r="M288" s="248"/>
      <c r="N288" s="248"/>
      <c r="O288" s="248"/>
      <c r="P288" s="248"/>
      <c r="Q288" s="248"/>
      <c r="R288" s="248"/>
      <c r="S288" s="248"/>
      <c r="T288" s="248"/>
      <c r="U288" s="248"/>
      <c r="V288" s="248"/>
      <c r="W288" s="248"/>
      <c r="X288" s="248"/>
      <c r="Y288" s="248"/>
      <c r="Z288" s="248"/>
      <c r="AA288" s="248"/>
      <c r="AB288" s="248"/>
    </row>
    <row r="289" spans="2:28" ht="15.75">
      <c r="B289" s="248"/>
      <c r="C289" s="248"/>
      <c r="D289" s="248"/>
      <c r="E289" s="248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  <c r="Z289" s="248"/>
      <c r="AA289" s="248"/>
      <c r="AB289" s="248"/>
    </row>
    <row r="290" spans="2:28" ht="15.75">
      <c r="B290" s="248"/>
      <c r="C290" s="248"/>
      <c r="D290" s="248"/>
      <c r="E290" s="248"/>
      <c r="F290" s="248"/>
      <c r="G290" s="248"/>
      <c r="H290" s="248"/>
      <c r="I290" s="248"/>
      <c r="J290" s="248"/>
      <c r="K290" s="248"/>
      <c r="L290" s="248"/>
      <c r="M290" s="248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248"/>
      <c r="Y290" s="248"/>
      <c r="Z290" s="248"/>
      <c r="AA290" s="248"/>
      <c r="AB290" s="248"/>
    </row>
    <row r="291" spans="2:28" ht="15.75">
      <c r="B291" s="248"/>
      <c r="C291" s="248"/>
      <c r="D291" s="248"/>
      <c r="E291" s="248"/>
      <c r="F291" s="248"/>
      <c r="G291" s="248"/>
      <c r="H291" s="248"/>
      <c r="I291" s="248"/>
      <c r="J291" s="248"/>
      <c r="K291" s="248"/>
      <c r="L291" s="248"/>
      <c r="M291" s="248"/>
      <c r="N291" s="248"/>
      <c r="O291" s="248"/>
      <c r="P291" s="248"/>
      <c r="Q291" s="248"/>
      <c r="R291" s="248"/>
      <c r="S291" s="248"/>
      <c r="T291" s="248"/>
      <c r="U291" s="248"/>
      <c r="V291" s="248"/>
      <c r="W291" s="248"/>
      <c r="X291" s="248"/>
      <c r="Y291" s="248"/>
      <c r="Z291" s="248"/>
      <c r="AA291" s="248"/>
      <c r="AB291" s="248"/>
    </row>
    <row r="292" spans="2:28" ht="15.75">
      <c r="B292" s="248"/>
      <c r="C292" s="248"/>
      <c r="D292" s="248"/>
      <c r="E292" s="248"/>
      <c r="F292" s="248"/>
      <c r="G292" s="248"/>
      <c r="H292" s="248"/>
      <c r="I292" s="248"/>
      <c r="J292" s="248"/>
      <c r="K292" s="248"/>
      <c r="L292" s="248"/>
      <c r="M292" s="248"/>
      <c r="N292" s="248"/>
      <c r="O292" s="248"/>
      <c r="P292" s="248"/>
      <c r="Q292" s="248"/>
      <c r="R292" s="248"/>
      <c r="S292" s="248"/>
      <c r="T292" s="248"/>
      <c r="U292" s="248"/>
      <c r="V292" s="248"/>
      <c r="W292" s="248"/>
      <c r="X292" s="248"/>
      <c r="Y292" s="248"/>
      <c r="Z292" s="248"/>
      <c r="AA292" s="248"/>
      <c r="AB292" s="248"/>
    </row>
    <row r="293" spans="2:28" ht="15.75">
      <c r="B293" s="248"/>
      <c r="C293" s="248"/>
      <c r="D293" s="248"/>
      <c r="E293" s="248"/>
      <c r="F293" s="248"/>
      <c r="G293" s="248"/>
      <c r="H293" s="248"/>
      <c r="I293" s="248"/>
      <c r="J293" s="248"/>
      <c r="K293" s="248"/>
      <c r="L293" s="248"/>
      <c r="M293" s="248"/>
      <c r="N293" s="248"/>
      <c r="O293" s="248"/>
      <c r="P293" s="248"/>
      <c r="Q293" s="248"/>
      <c r="R293" s="248"/>
      <c r="S293" s="248"/>
      <c r="T293" s="248"/>
      <c r="U293" s="248"/>
      <c r="V293" s="248"/>
      <c r="W293" s="248"/>
      <c r="X293" s="248"/>
      <c r="Y293" s="248"/>
      <c r="Z293" s="248"/>
      <c r="AA293" s="248"/>
      <c r="AB293" s="248"/>
    </row>
    <row r="294" spans="2:28" ht="15.75">
      <c r="B294" s="248"/>
      <c r="C294" s="248"/>
      <c r="D294" s="248"/>
      <c r="E294" s="248"/>
      <c r="F294" s="248"/>
      <c r="G294" s="248"/>
      <c r="H294" s="248"/>
      <c r="I294" s="248"/>
      <c r="J294" s="248"/>
      <c r="K294" s="248"/>
      <c r="L294" s="248"/>
      <c r="M294" s="248"/>
      <c r="N294" s="248"/>
      <c r="O294" s="248"/>
      <c r="P294" s="248"/>
      <c r="Q294" s="248"/>
      <c r="R294" s="248"/>
      <c r="S294" s="248"/>
      <c r="T294" s="248"/>
      <c r="U294" s="248"/>
      <c r="V294" s="248"/>
      <c r="W294" s="248"/>
      <c r="X294" s="248"/>
      <c r="Y294" s="248"/>
      <c r="Z294" s="248"/>
      <c r="AA294" s="248"/>
      <c r="AB294" s="248"/>
    </row>
    <row r="295" spans="2:28" ht="15.75"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248"/>
      <c r="M295" s="248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248"/>
      <c r="Y295" s="248"/>
      <c r="Z295" s="248"/>
      <c r="AA295" s="248"/>
      <c r="AB295" s="248"/>
    </row>
    <row r="296" spans="2:28" ht="15.75">
      <c r="B296" s="248"/>
      <c r="C296" s="248"/>
      <c r="D296" s="248"/>
      <c r="E296" s="248"/>
      <c r="F296" s="248"/>
      <c r="G296" s="248"/>
      <c r="H296" s="248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48"/>
      <c r="U296" s="248"/>
      <c r="V296" s="248"/>
      <c r="W296" s="248"/>
      <c r="X296" s="248"/>
      <c r="Y296" s="248"/>
      <c r="Z296" s="248"/>
      <c r="AA296" s="248"/>
      <c r="AB296" s="248"/>
    </row>
    <row r="297" spans="2:28" ht="15.75">
      <c r="B297" s="248"/>
      <c r="C297" s="248"/>
      <c r="D297" s="248"/>
      <c r="E297" s="248"/>
      <c r="F297" s="248"/>
      <c r="G297" s="248"/>
      <c r="H297" s="248"/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8"/>
      <c r="Z297" s="248"/>
      <c r="AA297" s="248"/>
      <c r="AB297" s="248"/>
    </row>
    <row r="298" spans="2:28" ht="15.75">
      <c r="B298" s="248"/>
      <c r="C298" s="248"/>
      <c r="D298" s="248"/>
      <c r="E298" s="248"/>
      <c r="F298" s="248"/>
      <c r="G298" s="248"/>
      <c r="H298" s="248"/>
      <c r="I298" s="248"/>
      <c r="J298" s="248"/>
      <c r="K298" s="248"/>
      <c r="L298" s="248"/>
      <c r="M298" s="248"/>
      <c r="N298" s="248"/>
      <c r="O298" s="248"/>
      <c r="P298" s="248"/>
      <c r="Q298" s="248"/>
      <c r="R298" s="248"/>
      <c r="S298" s="248"/>
      <c r="T298" s="248"/>
      <c r="U298" s="248"/>
      <c r="V298" s="248"/>
      <c r="W298" s="248"/>
      <c r="X298" s="248"/>
      <c r="Y298" s="248"/>
      <c r="Z298" s="248"/>
      <c r="AA298" s="248"/>
      <c r="AB298" s="248"/>
    </row>
    <row r="299" spans="2:28" ht="15.75">
      <c r="B299" s="248"/>
      <c r="C299" s="248"/>
      <c r="D299" s="248"/>
      <c r="E299" s="248"/>
      <c r="F299" s="248"/>
      <c r="G299" s="248"/>
      <c r="H299" s="248"/>
      <c r="I299" s="248"/>
      <c r="J299" s="248"/>
      <c r="K299" s="248"/>
      <c r="L299" s="248"/>
      <c r="M299" s="248"/>
      <c r="N299" s="248"/>
      <c r="O299" s="248"/>
      <c r="P299" s="248"/>
      <c r="Q299" s="248"/>
      <c r="R299" s="248"/>
      <c r="S299" s="248"/>
      <c r="T299" s="248"/>
      <c r="U299" s="248"/>
      <c r="V299" s="248"/>
      <c r="W299" s="248"/>
      <c r="X299" s="248"/>
      <c r="Y299" s="248"/>
      <c r="Z299" s="248"/>
      <c r="AA299" s="248"/>
      <c r="AB299" s="248"/>
    </row>
    <row r="300" spans="2:28" ht="15.75">
      <c r="B300" s="248"/>
      <c r="C300" s="248"/>
      <c r="D300" s="248"/>
      <c r="E300" s="248"/>
      <c r="F300" s="248"/>
      <c r="G300" s="248"/>
      <c r="H300" s="248"/>
      <c r="I300" s="248"/>
      <c r="J300" s="248"/>
      <c r="K300" s="248"/>
      <c r="L300" s="248"/>
      <c r="M300" s="248"/>
      <c r="N300" s="248"/>
      <c r="O300" s="248"/>
      <c r="P300" s="248"/>
      <c r="Q300" s="248"/>
      <c r="R300" s="248"/>
      <c r="S300" s="248"/>
      <c r="T300" s="248"/>
      <c r="U300" s="248"/>
      <c r="V300" s="248"/>
      <c r="W300" s="248"/>
      <c r="X300" s="248"/>
      <c r="Y300" s="248"/>
      <c r="Z300" s="248"/>
      <c r="AA300" s="248"/>
      <c r="AB300" s="248"/>
    </row>
    <row r="301" spans="2:28" ht="15.75">
      <c r="B301" s="248"/>
      <c r="C301" s="248"/>
      <c r="D301" s="248"/>
      <c r="E301" s="248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8"/>
      <c r="AA301" s="248"/>
      <c r="AB301" s="248"/>
    </row>
    <row r="302" spans="2:28" ht="15.75"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248"/>
      <c r="O302" s="248"/>
      <c r="P302" s="248"/>
      <c r="Q302" s="248"/>
      <c r="R302" s="248"/>
      <c r="S302" s="248"/>
      <c r="T302" s="248"/>
      <c r="U302" s="248"/>
      <c r="V302" s="248"/>
      <c r="W302" s="248"/>
      <c r="X302" s="248"/>
      <c r="Y302" s="248"/>
      <c r="Z302" s="248"/>
      <c r="AA302" s="248"/>
      <c r="AB302" s="248"/>
    </row>
    <row r="303" spans="2:28" ht="15.75"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248"/>
      <c r="O303" s="248"/>
      <c r="P303" s="248"/>
      <c r="Q303" s="248"/>
      <c r="R303" s="248"/>
      <c r="S303" s="248"/>
      <c r="T303" s="248"/>
      <c r="U303" s="248"/>
      <c r="V303" s="248"/>
      <c r="W303" s="248"/>
      <c r="X303" s="248"/>
      <c r="Y303" s="248"/>
      <c r="Z303" s="248"/>
      <c r="AA303" s="248"/>
      <c r="AB303" s="248"/>
    </row>
    <row r="304" spans="2:28" ht="15.75">
      <c r="B304" s="248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248"/>
      <c r="O304" s="248"/>
      <c r="P304" s="248"/>
      <c r="Q304" s="248"/>
      <c r="R304" s="248"/>
      <c r="S304" s="248"/>
      <c r="T304" s="248"/>
      <c r="U304" s="248"/>
      <c r="V304" s="248"/>
      <c r="W304" s="248"/>
      <c r="X304" s="248"/>
      <c r="Y304" s="248"/>
      <c r="Z304" s="248"/>
      <c r="AA304" s="248"/>
      <c r="AB304" s="248"/>
    </row>
    <row r="305" spans="2:28" ht="15.75">
      <c r="B305" s="248"/>
      <c r="C305" s="248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248"/>
      <c r="O305" s="248"/>
      <c r="P305" s="248"/>
      <c r="Q305" s="248"/>
      <c r="R305" s="248"/>
      <c r="S305" s="248"/>
      <c r="T305" s="248"/>
      <c r="U305" s="248"/>
      <c r="V305" s="248"/>
      <c r="W305" s="248"/>
      <c r="X305" s="248"/>
      <c r="Y305" s="248"/>
      <c r="Z305" s="248"/>
      <c r="AA305" s="248"/>
      <c r="AB305" s="248"/>
    </row>
    <row r="306" spans="2:28" ht="15.75">
      <c r="B306" s="248"/>
      <c r="C306" s="248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248"/>
      <c r="O306" s="248"/>
      <c r="P306" s="248"/>
      <c r="Q306" s="248"/>
      <c r="R306" s="248"/>
      <c r="S306" s="248"/>
      <c r="T306" s="248"/>
      <c r="U306" s="248"/>
      <c r="V306" s="248"/>
      <c r="W306" s="248"/>
      <c r="X306" s="248"/>
      <c r="Y306" s="248"/>
      <c r="Z306" s="248"/>
      <c r="AA306" s="248"/>
      <c r="AB306" s="248"/>
    </row>
    <row r="307" spans="2:28" ht="15.75">
      <c r="B307" s="248"/>
      <c r="C307" s="248"/>
      <c r="D307" s="248"/>
      <c r="E307" s="248"/>
      <c r="F307" s="248"/>
      <c r="G307" s="248"/>
      <c r="H307" s="248"/>
      <c r="I307" s="248"/>
      <c r="J307" s="248"/>
      <c r="K307" s="248"/>
      <c r="L307" s="248"/>
      <c r="M307" s="248"/>
      <c r="N307" s="248"/>
      <c r="O307" s="248"/>
      <c r="P307" s="248"/>
      <c r="Q307" s="248"/>
      <c r="R307" s="248"/>
      <c r="S307" s="248"/>
      <c r="T307" s="248"/>
      <c r="U307" s="248"/>
      <c r="V307" s="248"/>
      <c r="W307" s="248"/>
      <c r="X307" s="248"/>
      <c r="Y307" s="248"/>
      <c r="Z307" s="248"/>
      <c r="AA307" s="248"/>
      <c r="AB307" s="248"/>
    </row>
    <row r="308" spans="2:28" ht="15.75">
      <c r="B308" s="248"/>
      <c r="C308" s="248"/>
      <c r="D308" s="248"/>
      <c r="E308" s="248"/>
      <c r="F308" s="248"/>
      <c r="G308" s="248"/>
      <c r="H308" s="248"/>
      <c r="I308" s="248"/>
      <c r="J308" s="248"/>
      <c r="K308" s="248"/>
      <c r="L308" s="248"/>
      <c r="M308" s="248"/>
      <c r="N308" s="248"/>
      <c r="O308" s="248"/>
      <c r="P308" s="248"/>
      <c r="Q308" s="248"/>
      <c r="R308" s="248"/>
      <c r="S308" s="248"/>
      <c r="T308" s="248"/>
      <c r="U308" s="248"/>
      <c r="V308" s="248"/>
      <c r="W308" s="248"/>
      <c r="X308" s="248"/>
      <c r="Y308" s="248"/>
      <c r="Z308" s="248"/>
      <c r="AA308" s="248"/>
      <c r="AB308" s="248"/>
    </row>
    <row r="309" spans="2:28" ht="15.75">
      <c r="B309" s="248"/>
      <c r="C309" s="248"/>
      <c r="D309" s="248"/>
      <c r="E309" s="248"/>
      <c r="F309" s="248"/>
      <c r="G309" s="248"/>
      <c r="H309" s="248"/>
      <c r="I309" s="248"/>
      <c r="J309" s="248"/>
      <c r="K309" s="248"/>
      <c r="L309" s="248"/>
      <c r="M309" s="248"/>
      <c r="N309" s="248"/>
      <c r="O309" s="248"/>
      <c r="P309" s="248"/>
      <c r="Q309" s="248"/>
      <c r="R309" s="248"/>
      <c r="S309" s="248"/>
      <c r="T309" s="248"/>
      <c r="U309" s="248"/>
      <c r="V309" s="248"/>
      <c r="W309" s="248"/>
      <c r="X309" s="248"/>
      <c r="Y309" s="248"/>
      <c r="Z309" s="248"/>
      <c r="AA309" s="248"/>
      <c r="AB309" s="248"/>
    </row>
    <row r="310" spans="2:28" ht="15.75">
      <c r="B310" s="248"/>
      <c r="C310" s="248"/>
      <c r="D310" s="248"/>
      <c r="E310" s="248"/>
      <c r="F310" s="248"/>
      <c r="G310" s="248"/>
      <c r="H310" s="248"/>
      <c r="I310" s="248"/>
      <c r="J310" s="248"/>
      <c r="K310" s="248"/>
      <c r="L310" s="248"/>
      <c r="M310" s="248"/>
      <c r="N310" s="248"/>
      <c r="O310" s="248"/>
      <c r="P310" s="248"/>
      <c r="Q310" s="248"/>
      <c r="R310" s="248"/>
      <c r="S310" s="248"/>
      <c r="T310" s="248"/>
      <c r="U310" s="248"/>
      <c r="V310" s="248"/>
      <c r="W310" s="248"/>
      <c r="X310" s="248"/>
      <c r="Y310" s="248"/>
      <c r="Z310" s="248"/>
      <c r="AA310" s="248"/>
      <c r="AB310" s="248"/>
    </row>
    <row r="311" spans="2:28" ht="15.75">
      <c r="B311" s="248"/>
      <c r="C311" s="248"/>
      <c r="D311" s="248"/>
      <c r="E311" s="248"/>
      <c r="F311" s="248"/>
      <c r="G311" s="248"/>
      <c r="H311" s="248"/>
      <c r="I311" s="248"/>
      <c r="J311" s="248"/>
      <c r="K311" s="248"/>
      <c r="L311" s="248"/>
      <c r="M311" s="248"/>
      <c r="N311" s="248"/>
      <c r="O311" s="248"/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8"/>
      <c r="AA311" s="248"/>
      <c r="AB311" s="248"/>
    </row>
    <row r="312" spans="2:28" ht="15.75">
      <c r="B312" s="248"/>
      <c r="C312" s="248"/>
      <c r="D312" s="248"/>
      <c r="E312" s="248"/>
      <c r="F312" s="248"/>
      <c r="G312" s="248"/>
      <c r="H312" s="248"/>
      <c r="I312" s="248"/>
      <c r="J312" s="248"/>
      <c r="K312" s="248"/>
      <c r="L312" s="248"/>
      <c r="M312" s="248"/>
      <c r="N312" s="248"/>
      <c r="O312" s="248"/>
      <c r="P312" s="248"/>
      <c r="Q312" s="248"/>
      <c r="R312" s="248"/>
      <c r="S312" s="248"/>
      <c r="T312" s="248"/>
      <c r="U312" s="248"/>
      <c r="V312" s="248"/>
      <c r="W312" s="248"/>
      <c r="X312" s="248"/>
      <c r="Y312" s="248"/>
      <c r="Z312" s="248"/>
      <c r="AA312" s="248"/>
      <c r="AB312" s="248"/>
    </row>
    <row r="313" spans="2:28" ht="15.75">
      <c r="B313" s="248"/>
      <c r="C313" s="248"/>
      <c r="D313" s="248"/>
      <c r="E313" s="248"/>
      <c r="F313" s="248"/>
      <c r="G313" s="248"/>
      <c r="H313" s="248"/>
      <c r="I313" s="248"/>
      <c r="J313" s="248"/>
      <c r="K313" s="248"/>
      <c r="L313" s="248"/>
      <c r="M313" s="248"/>
      <c r="N313" s="248"/>
      <c r="O313" s="248"/>
      <c r="P313" s="248"/>
      <c r="Q313" s="248"/>
      <c r="R313" s="248"/>
      <c r="S313" s="248"/>
      <c r="T313" s="248"/>
      <c r="U313" s="248"/>
      <c r="V313" s="248"/>
      <c r="W313" s="248"/>
      <c r="X313" s="248"/>
      <c r="Y313" s="248"/>
      <c r="Z313" s="248"/>
      <c r="AA313" s="248"/>
      <c r="AB313" s="248"/>
    </row>
    <row r="314" spans="2:28" ht="15.75">
      <c r="B314" s="248"/>
      <c r="C314" s="248"/>
      <c r="D314" s="248"/>
      <c r="E314" s="248"/>
      <c r="F314" s="248"/>
      <c r="G314" s="248"/>
      <c r="H314" s="248"/>
      <c r="I314" s="248"/>
      <c r="J314" s="248"/>
      <c r="K314" s="248"/>
      <c r="L314" s="248"/>
      <c r="M314" s="248"/>
      <c r="N314" s="248"/>
      <c r="O314" s="248"/>
      <c r="P314" s="248"/>
      <c r="Q314" s="248"/>
      <c r="R314" s="248"/>
      <c r="S314" s="248"/>
      <c r="T314" s="248"/>
      <c r="U314" s="248"/>
      <c r="V314" s="248"/>
      <c r="W314" s="248"/>
      <c r="X314" s="248"/>
      <c r="Y314" s="248"/>
      <c r="Z314" s="248"/>
      <c r="AA314" s="248"/>
      <c r="AB314" s="248"/>
    </row>
    <row r="315" spans="2:28" ht="15.75">
      <c r="B315" s="248"/>
      <c r="C315" s="248"/>
      <c r="D315" s="248"/>
      <c r="E315" s="248"/>
      <c r="F315" s="248"/>
      <c r="G315" s="248"/>
      <c r="H315" s="248"/>
      <c r="I315" s="248"/>
      <c r="J315" s="248"/>
      <c r="K315" s="248"/>
      <c r="L315" s="248"/>
      <c r="M315" s="248"/>
      <c r="N315" s="248"/>
      <c r="O315" s="248"/>
      <c r="P315" s="248"/>
      <c r="Q315" s="248"/>
      <c r="R315" s="248"/>
      <c r="S315" s="248"/>
      <c r="T315" s="248"/>
      <c r="U315" s="248"/>
      <c r="V315" s="248"/>
      <c r="W315" s="248"/>
      <c r="X315" s="248"/>
      <c r="Y315" s="248"/>
      <c r="Z315" s="248"/>
      <c r="AA315" s="248"/>
      <c r="AB315" s="248"/>
    </row>
    <row r="316" spans="2:28" ht="15.75">
      <c r="B316" s="248"/>
      <c r="C316" s="248"/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8"/>
      <c r="P316" s="248"/>
      <c r="Q316" s="248"/>
      <c r="R316" s="248"/>
      <c r="S316" s="248"/>
      <c r="T316" s="248"/>
      <c r="U316" s="248"/>
      <c r="V316" s="248"/>
      <c r="W316" s="248"/>
      <c r="X316" s="248"/>
      <c r="Y316" s="248"/>
      <c r="Z316" s="248"/>
      <c r="AA316" s="248"/>
      <c r="AB316" s="248"/>
    </row>
    <row r="317" spans="2:28" ht="15.75">
      <c r="B317" s="248"/>
      <c r="C317" s="248"/>
      <c r="D317" s="248"/>
      <c r="E317" s="248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48"/>
      <c r="U317" s="248"/>
      <c r="V317" s="248"/>
      <c r="W317" s="248"/>
      <c r="X317" s="248"/>
      <c r="Y317" s="248"/>
      <c r="Z317" s="248"/>
      <c r="AA317" s="248"/>
      <c r="AB317" s="248"/>
    </row>
    <row r="318" spans="2:28" ht="15.75">
      <c r="B318" s="248"/>
      <c r="C318" s="248"/>
      <c r="D318" s="248"/>
      <c r="E318" s="248"/>
      <c r="F318" s="248"/>
      <c r="G318" s="248"/>
      <c r="H318" s="248"/>
      <c r="I318" s="248"/>
      <c r="J318" s="248"/>
      <c r="K318" s="248"/>
      <c r="L318" s="248"/>
      <c r="M318" s="248"/>
      <c r="N318" s="248"/>
      <c r="O318" s="248"/>
      <c r="P318" s="248"/>
      <c r="Q318" s="248"/>
      <c r="R318" s="248"/>
      <c r="S318" s="248"/>
      <c r="T318" s="248"/>
      <c r="U318" s="248"/>
      <c r="V318" s="248"/>
      <c r="W318" s="248"/>
      <c r="X318" s="248"/>
      <c r="Y318" s="248"/>
      <c r="Z318" s="248"/>
      <c r="AA318" s="248"/>
      <c r="AB318" s="248"/>
    </row>
    <row r="319" spans="2:28" ht="15.75">
      <c r="B319" s="248"/>
      <c r="C319" s="248"/>
      <c r="D319" s="248"/>
      <c r="E319" s="248"/>
      <c r="F319" s="248"/>
      <c r="G319" s="248"/>
      <c r="H319" s="248"/>
      <c r="I319" s="248"/>
      <c r="J319" s="248"/>
      <c r="K319" s="248"/>
      <c r="L319" s="248"/>
      <c r="M319" s="248"/>
      <c r="N319" s="248"/>
      <c r="O319" s="248"/>
      <c r="P319" s="248"/>
      <c r="Q319" s="248"/>
      <c r="R319" s="248"/>
      <c r="S319" s="248"/>
      <c r="T319" s="248"/>
      <c r="U319" s="248"/>
      <c r="V319" s="248"/>
      <c r="W319" s="248"/>
      <c r="X319" s="248"/>
      <c r="Y319" s="248"/>
      <c r="Z319" s="248"/>
      <c r="AA319" s="248"/>
      <c r="AB319" s="248"/>
    </row>
    <row r="320" spans="2:28" ht="15.75">
      <c r="B320" s="248"/>
      <c r="C320" s="248"/>
      <c r="D320" s="248"/>
      <c r="E320" s="248"/>
      <c r="F320" s="248"/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8"/>
      <c r="Z320" s="248"/>
      <c r="AA320" s="248"/>
      <c r="AB320" s="248"/>
    </row>
    <row r="321" spans="2:28" ht="15.75">
      <c r="B321" s="248"/>
      <c r="C321" s="248"/>
      <c r="D321" s="248"/>
      <c r="E321" s="248"/>
      <c r="F321" s="248"/>
      <c r="G321" s="248"/>
      <c r="H321" s="248"/>
      <c r="I321" s="248"/>
      <c r="J321" s="248"/>
      <c r="K321" s="248"/>
      <c r="L321" s="248"/>
      <c r="M321" s="248"/>
      <c r="N321" s="248"/>
      <c r="O321" s="248"/>
      <c r="P321" s="248"/>
      <c r="Q321" s="248"/>
      <c r="R321" s="248"/>
      <c r="S321" s="248"/>
      <c r="T321" s="248"/>
      <c r="U321" s="248"/>
      <c r="V321" s="248"/>
      <c r="W321" s="248"/>
      <c r="X321" s="248"/>
      <c r="Y321" s="248"/>
      <c r="Z321" s="248"/>
      <c r="AA321" s="248"/>
      <c r="AB321" s="248"/>
    </row>
    <row r="322" spans="2:28" ht="15.75">
      <c r="B322" s="248"/>
      <c r="C322" s="248"/>
      <c r="D322" s="248"/>
      <c r="E322" s="248"/>
      <c r="F322" s="248"/>
      <c r="G322" s="248"/>
      <c r="H322" s="248"/>
      <c r="I322" s="248"/>
      <c r="J322" s="248"/>
      <c r="K322" s="248"/>
      <c r="L322" s="248"/>
      <c r="M322" s="248"/>
      <c r="N322" s="248"/>
      <c r="O322" s="248"/>
      <c r="P322" s="248"/>
      <c r="Q322" s="248"/>
      <c r="R322" s="248"/>
      <c r="S322" s="248"/>
      <c r="T322" s="248"/>
      <c r="U322" s="248"/>
      <c r="V322" s="248"/>
      <c r="W322" s="248"/>
      <c r="X322" s="248"/>
      <c r="Y322" s="248"/>
      <c r="Z322" s="248"/>
      <c r="AA322" s="248"/>
      <c r="AB322" s="248"/>
    </row>
    <row r="323" spans="2:28" ht="15.75">
      <c r="B323" s="248"/>
      <c r="C323" s="248"/>
      <c r="D323" s="248"/>
      <c r="E323" s="248"/>
      <c r="F323" s="248"/>
      <c r="G323" s="248"/>
      <c r="H323" s="248"/>
      <c r="I323" s="248"/>
      <c r="J323" s="248"/>
      <c r="K323" s="248"/>
      <c r="L323" s="248"/>
      <c r="M323" s="248"/>
      <c r="N323" s="248"/>
      <c r="O323" s="248"/>
      <c r="P323" s="248"/>
      <c r="Q323" s="248"/>
      <c r="R323" s="248"/>
      <c r="S323" s="248"/>
      <c r="T323" s="248"/>
      <c r="U323" s="248"/>
      <c r="V323" s="248"/>
      <c r="W323" s="248"/>
      <c r="X323" s="248"/>
      <c r="Y323" s="248"/>
      <c r="Z323" s="248"/>
      <c r="AA323" s="248"/>
      <c r="AB323" s="248"/>
    </row>
    <row r="324" spans="2:28" ht="15.75">
      <c r="B324" s="248"/>
      <c r="C324" s="248"/>
      <c r="D324" s="248"/>
      <c r="E324" s="248"/>
      <c r="F324" s="248"/>
      <c r="G324" s="248"/>
      <c r="H324" s="248"/>
      <c r="I324" s="248"/>
      <c r="J324" s="248"/>
      <c r="K324" s="248"/>
      <c r="L324" s="248"/>
      <c r="M324" s="248"/>
      <c r="N324" s="248"/>
      <c r="O324" s="248"/>
      <c r="P324" s="248"/>
      <c r="Q324" s="248"/>
      <c r="R324" s="248"/>
      <c r="S324" s="248"/>
      <c r="T324" s="248"/>
      <c r="U324" s="248"/>
      <c r="V324" s="248"/>
      <c r="W324" s="248"/>
      <c r="X324" s="248"/>
      <c r="Y324" s="248"/>
      <c r="Z324" s="248"/>
      <c r="AA324" s="248"/>
      <c r="AB324" s="248"/>
    </row>
    <row r="325" spans="2:28" ht="15.75">
      <c r="B325" s="248"/>
      <c r="C325" s="248"/>
      <c r="D325" s="248"/>
      <c r="E325" s="248"/>
      <c r="F325" s="248"/>
      <c r="G325" s="248"/>
      <c r="H325" s="248"/>
      <c r="I325" s="248"/>
      <c r="J325" s="248"/>
      <c r="K325" s="248"/>
      <c r="L325" s="248"/>
      <c r="M325" s="248"/>
      <c r="N325" s="248"/>
      <c r="O325" s="248"/>
      <c r="P325" s="248"/>
      <c r="Q325" s="248"/>
      <c r="R325" s="248"/>
      <c r="S325" s="248"/>
      <c r="T325" s="248"/>
      <c r="U325" s="248"/>
      <c r="V325" s="248"/>
      <c r="W325" s="248"/>
      <c r="X325" s="248"/>
      <c r="Y325" s="248"/>
      <c r="Z325" s="248"/>
      <c r="AA325" s="248"/>
      <c r="AB325" s="248"/>
    </row>
    <row r="326" spans="2:28" ht="15.75">
      <c r="B326" s="248"/>
      <c r="C326" s="248"/>
      <c r="D326" s="248"/>
      <c r="E326" s="248"/>
      <c r="F326" s="248"/>
      <c r="G326" s="248"/>
      <c r="H326" s="248"/>
      <c r="I326" s="248"/>
      <c r="J326" s="248"/>
      <c r="K326" s="248"/>
      <c r="L326" s="248"/>
      <c r="M326" s="248"/>
      <c r="N326" s="248"/>
      <c r="O326" s="248"/>
      <c r="P326" s="248"/>
      <c r="Q326" s="248"/>
      <c r="R326" s="248"/>
      <c r="S326" s="248"/>
      <c r="T326" s="248"/>
      <c r="U326" s="248"/>
      <c r="V326" s="248"/>
      <c r="W326" s="248"/>
      <c r="X326" s="248"/>
      <c r="Y326" s="248"/>
      <c r="Z326" s="248"/>
      <c r="AA326" s="248"/>
      <c r="AB326" s="248"/>
    </row>
    <row r="327" spans="2:28" ht="15.75">
      <c r="B327" s="248"/>
      <c r="C327" s="248"/>
      <c r="D327" s="248"/>
      <c r="E327" s="248"/>
      <c r="F327" s="248"/>
      <c r="G327" s="248"/>
      <c r="H327" s="248"/>
      <c r="I327" s="248"/>
      <c r="J327" s="248"/>
      <c r="K327" s="248"/>
      <c r="L327" s="248"/>
      <c r="M327" s="248"/>
      <c r="N327" s="248"/>
      <c r="O327" s="248"/>
      <c r="P327" s="248"/>
      <c r="Q327" s="248"/>
      <c r="R327" s="248"/>
      <c r="S327" s="248"/>
      <c r="T327" s="248"/>
      <c r="U327" s="248"/>
      <c r="V327" s="248"/>
      <c r="W327" s="248"/>
      <c r="X327" s="248"/>
      <c r="Y327" s="248"/>
      <c r="Z327" s="248"/>
      <c r="AA327" s="248"/>
      <c r="AB327" s="248"/>
    </row>
    <row r="328" spans="2:28" ht="15.75">
      <c r="B328" s="248"/>
      <c r="C328" s="248"/>
      <c r="D328" s="248"/>
      <c r="E328" s="248"/>
      <c r="F328" s="248"/>
      <c r="G328" s="248"/>
      <c r="H328" s="248"/>
      <c r="I328" s="248"/>
      <c r="J328" s="248"/>
      <c r="K328" s="248"/>
      <c r="L328" s="248"/>
      <c r="M328" s="248"/>
      <c r="N328" s="248"/>
      <c r="O328" s="248"/>
      <c r="P328" s="248"/>
      <c r="Q328" s="248"/>
      <c r="R328" s="248"/>
      <c r="S328" s="248"/>
      <c r="T328" s="248"/>
      <c r="U328" s="248"/>
      <c r="V328" s="248"/>
      <c r="W328" s="248"/>
      <c r="X328" s="248"/>
      <c r="Y328" s="248"/>
      <c r="Z328" s="248"/>
      <c r="AA328" s="248"/>
      <c r="AB328" s="248"/>
    </row>
    <row r="329" spans="2:28" ht="15.75">
      <c r="B329" s="248"/>
      <c r="C329" s="248"/>
      <c r="D329" s="248"/>
      <c r="E329" s="248"/>
      <c r="F329" s="248"/>
      <c r="G329" s="248"/>
      <c r="H329" s="248"/>
      <c r="I329" s="248"/>
      <c r="J329" s="248"/>
      <c r="K329" s="248"/>
      <c r="L329" s="248"/>
      <c r="M329" s="248"/>
      <c r="N329" s="248"/>
      <c r="O329" s="248"/>
      <c r="P329" s="248"/>
      <c r="Q329" s="248"/>
      <c r="R329" s="248"/>
      <c r="S329" s="248"/>
      <c r="T329" s="248"/>
      <c r="U329" s="248"/>
      <c r="V329" s="248"/>
      <c r="W329" s="248"/>
      <c r="X329" s="248"/>
      <c r="Y329" s="248"/>
      <c r="Z329" s="248"/>
      <c r="AA329" s="248"/>
      <c r="AB329" s="248"/>
    </row>
    <row r="330" spans="2:28" ht="15.75">
      <c r="B330" s="248"/>
      <c r="C330" s="248"/>
      <c r="D330" s="248"/>
      <c r="E330" s="248"/>
      <c r="F330" s="248"/>
      <c r="G330" s="248"/>
      <c r="H330" s="248"/>
      <c r="I330" s="248"/>
      <c r="J330" s="248"/>
      <c r="K330" s="248"/>
      <c r="L330" s="248"/>
      <c r="M330" s="248"/>
      <c r="N330" s="248"/>
      <c r="O330" s="248"/>
      <c r="P330" s="248"/>
      <c r="Q330" s="248"/>
      <c r="R330" s="248"/>
      <c r="S330" s="248"/>
      <c r="T330" s="248"/>
      <c r="U330" s="248"/>
      <c r="V330" s="248"/>
      <c r="W330" s="248"/>
      <c r="X330" s="248"/>
      <c r="Y330" s="248"/>
      <c r="Z330" s="248"/>
      <c r="AA330" s="248"/>
      <c r="AB330" s="248"/>
    </row>
    <row r="331" spans="2:28" ht="15.75">
      <c r="B331" s="248"/>
      <c r="C331" s="248"/>
      <c r="D331" s="248"/>
      <c r="E331" s="248"/>
      <c r="F331" s="248"/>
      <c r="G331" s="248"/>
      <c r="H331" s="248"/>
      <c r="I331" s="248"/>
      <c r="J331" s="248"/>
      <c r="K331" s="248"/>
      <c r="L331" s="248"/>
      <c r="M331" s="248"/>
      <c r="N331" s="248"/>
      <c r="O331" s="248"/>
      <c r="P331" s="248"/>
      <c r="Q331" s="248"/>
      <c r="R331" s="248"/>
      <c r="S331" s="248"/>
      <c r="T331" s="248"/>
      <c r="U331" s="248"/>
      <c r="V331" s="248"/>
      <c r="W331" s="248"/>
      <c r="X331" s="248"/>
      <c r="Y331" s="248"/>
      <c r="Z331" s="248"/>
      <c r="AA331" s="248"/>
      <c r="AB331" s="248"/>
    </row>
    <row r="332" spans="2:28" ht="15.75">
      <c r="B332" s="248"/>
      <c r="C332" s="248"/>
      <c r="D332" s="248"/>
      <c r="E332" s="248"/>
      <c r="F332" s="248"/>
      <c r="G332" s="248"/>
      <c r="H332" s="248"/>
      <c r="I332" s="248"/>
      <c r="J332" s="248"/>
      <c r="K332" s="248"/>
      <c r="L332" s="248"/>
      <c r="M332" s="248"/>
      <c r="N332" s="248"/>
      <c r="O332" s="248"/>
      <c r="P332" s="248"/>
      <c r="Q332" s="248"/>
      <c r="R332" s="248"/>
      <c r="S332" s="248"/>
      <c r="T332" s="248"/>
      <c r="U332" s="248"/>
      <c r="V332" s="248"/>
      <c r="W332" s="248"/>
      <c r="X332" s="248"/>
      <c r="Y332" s="248"/>
      <c r="Z332" s="248"/>
      <c r="AA332" s="248"/>
      <c r="AB332" s="248"/>
    </row>
    <row r="333" spans="2:28" ht="15.75">
      <c r="B333" s="248"/>
      <c r="C333" s="248"/>
      <c r="D333" s="248"/>
      <c r="E333" s="248"/>
      <c r="F333" s="248"/>
      <c r="G333" s="248"/>
      <c r="H333" s="248"/>
      <c r="I333" s="248"/>
      <c r="J333" s="248"/>
      <c r="K333" s="248"/>
      <c r="L333" s="248"/>
      <c r="M333" s="248"/>
      <c r="N333" s="248"/>
      <c r="O333" s="248"/>
      <c r="P333" s="248"/>
      <c r="Q333" s="248"/>
      <c r="R333" s="248"/>
      <c r="S333" s="248"/>
      <c r="T333" s="248"/>
      <c r="U333" s="248"/>
      <c r="V333" s="248"/>
      <c r="W333" s="248"/>
      <c r="X333" s="248"/>
      <c r="Y333" s="248"/>
      <c r="Z333" s="248"/>
      <c r="AA333" s="248"/>
      <c r="AB333" s="248"/>
    </row>
    <row r="334" spans="2:28" ht="15.75">
      <c r="B334" s="248"/>
      <c r="C334" s="248"/>
      <c r="D334" s="248"/>
      <c r="E334" s="248"/>
      <c r="F334" s="248"/>
      <c r="G334" s="248"/>
      <c r="H334" s="248"/>
      <c r="I334" s="248"/>
      <c r="J334" s="248"/>
      <c r="K334" s="248"/>
      <c r="L334" s="248"/>
      <c r="M334" s="248"/>
      <c r="N334" s="248"/>
      <c r="O334" s="248"/>
      <c r="P334" s="248"/>
      <c r="Q334" s="248"/>
      <c r="R334" s="248"/>
      <c r="S334" s="248"/>
      <c r="T334" s="248"/>
      <c r="U334" s="248"/>
      <c r="V334" s="248"/>
      <c r="W334" s="248"/>
      <c r="X334" s="248"/>
      <c r="Y334" s="248"/>
      <c r="Z334" s="248"/>
      <c r="AA334" s="248"/>
      <c r="AB334" s="248"/>
    </row>
    <row r="335" spans="2:28" ht="15.75">
      <c r="B335" s="248"/>
      <c r="C335" s="248"/>
      <c r="D335" s="248"/>
      <c r="E335" s="248"/>
      <c r="F335" s="248"/>
      <c r="G335" s="248"/>
      <c r="H335" s="248"/>
      <c r="I335" s="248"/>
      <c r="J335" s="248"/>
      <c r="K335" s="248"/>
      <c r="L335" s="248"/>
      <c r="M335" s="248"/>
      <c r="N335" s="248"/>
      <c r="O335" s="248"/>
      <c r="P335" s="248"/>
      <c r="Q335" s="248"/>
      <c r="R335" s="248"/>
      <c r="S335" s="248"/>
      <c r="T335" s="248"/>
      <c r="U335" s="248"/>
      <c r="V335" s="248"/>
      <c r="W335" s="248"/>
      <c r="X335" s="248"/>
      <c r="Y335" s="248"/>
      <c r="Z335" s="248"/>
      <c r="AA335" s="248"/>
      <c r="AB335" s="248"/>
    </row>
    <row r="336" spans="2:28" ht="15.75">
      <c r="B336" s="248"/>
      <c r="C336" s="248"/>
      <c r="D336" s="248"/>
      <c r="E336" s="248"/>
      <c r="F336" s="248"/>
      <c r="G336" s="248"/>
      <c r="H336" s="248"/>
      <c r="I336" s="248"/>
      <c r="J336" s="248"/>
      <c r="K336" s="248"/>
      <c r="L336" s="248"/>
      <c r="M336" s="248"/>
      <c r="N336" s="248"/>
      <c r="O336" s="248"/>
      <c r="P336" s="248"/>
      <c r="Q336" s="248"/>
      <c r="R336" s="248"/>
      <c r="S336" s="248"/>
      <c r="T336" s="248"/>
      <c r="U336" s="248"/>
      <c r="V336" s="248"/>
      <c r="W336" s="248"/>
      <c r="X336" s="248"/>
      <c r="Y336" s="248"/>
      <c r="Z336" s="248"/>
      <c r="AA336" s="248"/>
      <c r="AB336" s="248"/>
    </row>
    <row r="337" spans="2:28" ht="15.75">
      <c r="B337" s="248"/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M337" s="248"/>
      <c r="N337" s="248"/>
      <c r="O337" s="248"/>
      <c r="P337" s="248"/>
      <c r="Q337" s="248"/>
      <c r="R337" s="248"/>
      <c r="S337" s="248"/>
      <c r="T337" s="248"/>
      <c r="U337" s="248"/>
      <c r="V337" s="248"/>
      <c r="W337" s="248"/>
      <c r="X337" s="248"/>
      <c r="Y337" s="248"/>
      <c r="Z337" s="248"/>
      <c r="AA337" s="248"/>
      <c r="AB337" s="248"/>
    </row>
    <row r="338" spans="2:28" ht="15.75">
      <c r="B338" s="248"/>
      <c r="C338" s="248"/>
      <c r="D338" s="248"/>
      <c r="E338" s="248"/>
      <c r="F338" s="248"/>
      <c r="G338" s="248"/>
      <c r="H338" s="248"/>
      <c r="I338" s="248"/>
      <c r="J338" s="248"/>
      <c r="K338" s="248"/>
      <c r="L338" s="248"/>
      <c r="M338" s="248"/>
      <c r="N338" s="248"/>
      <c r="O338" s="248"/>
      <c r="P338" s="248"/>
      <c r="Q338" s="248"/>
      <c r="R338" s="248"/>
      <c r="S338" s="248"/>
      <c r="T338" s="248"/>
      <c r="U338" s="248"/>
      <c r="V338" s="248"/>
      <c r="W338" s="248"/>
      <c r="X338" s="248"/>
      <c r="Y338" s="248"/>
      <c r="Z338" s="248"/>
      <c r="AA338" s="248"/>
      <c r="AB338" s="248"/>
    </row>
    <row r="339" spans="2:28" ht="15.75">
      <c r="B339" s="248"/>
      <c r="C339" s="248"/>
      <c r="D339" s="248"/>
      <c r="E339" s="248"/>
      <c r="F339" s="248"/>
      <c r="G339" s="248"/>
      <c r="H339" s="248"/>
      <c r="I339" s="248"/>
      <c r="J339" s="248"/>
      <c r="K339" s="248"/>
      <c r="L339" s="248"/>
      <c r="M339" s="248"/>
      <c r="N339" s="248"/>
      <c r="O339" s="248"/>
      <c r="P339" s="248"/>
      <c r="Q339" s="248"/>
      <c r="R339" s="248"/>
      <c r="S339" s="248"/>
      <c r="T339" s="248"/>
      <c r="U339" s="248"/>
      <c r="V339" s="248"/>
      <c r="W339" s="248"/>
      <c r="X339" s="248"/>
      <c r="Y339" s="248"/>
      <c r="Z339" s="248"/>
      <c r="AA339" s="248"/>
      <c r="AB339" s="248"/>
    </row>
    <row r="340" spans="2:28" ht="15.75">
      <c r="B340" s="248"/>
      <c r="C340" s="248"/>
      <c r="D340" s="248"/>
      <c r="E340" s="248"/>
      <c r="F340" s="248"/>
      <c r="G340" s="248"/>
      <c r="H340" s="248"/>
      <c r="I340" s="248"/>
      <c r="J340" s="248"/>
      <c r="K340" s="248"/>
      <c r="L340" s="248"/>
      <c r="M340" s="248"/>
      <c r="N340" s="248"/>
      <c r="O340" s="248"/>
      <c r="P340" s="248"/>
      <c r="Q340" s="248"/>
      <c r="R340" s="248"/>
      <c r="S340" s="248"/>
      <c r="T340" s="248"/>
      <c r="U340" s="248"/>
      <c r="V340" s="248"/>
      <c r="W340" s="248"/>
      <c r="X340" s="248"/>
      <c r="Y340" s="248"/>
      <c r="Z340" s="248"/>
      <c r="AA340" s="248"/>
      <c r="AB340" s="248"/>
    </row>
    <row r="341" spans="2:28" ht="15.75">
      <c r="B341" s="248"/>
      <c r="C341" s="248"/>
      <c r="D341" s="248"/>
      <c r="E341" s="248"/>
      <c r="F341" s="248"/>
      <c r="G341" s="248"/>
      <c r="H341" s="248"/>
      <c r="I341" s="248"/>
      <c r="J341" s="248"/>
      <c r="K341" s="248"/>
      <c r="L341" s="248"/>
      <c r="M341" s="248"/>
      <c r="N341" s="248"/>
      <c r="O341" s="248"/>
      <c r="P341" s="248"/>
      <c r="Q341" s="248"/>
      <c r="R341" s="248"/>
      <c r="S341" s="248"/>
      <c r="T341" s="248"/>
      <c r="U341" s="248"/>
      <c r="V341" s="248"/>
      <c r="W341" s="248"/>
      <c r="X341" s="248"/>
      <c r="Y341" s="248"/>
      <c r="Z341" s="248"/>
      <c r="AA341" s="248"/>
      <c r="AB341" s="248"/>
    </row>
    <row r="342" spans="2:28" ht="15.75">
      <c r="B342" s="248"/>
      <c r="C342" s="248"/>
      <c r="D342" s="248"/>
      <c r="E342" s="248"/>
      <c r="F342" s="248"/>
      <c r="G342" s="248"/>
      <c r="H342" s="248"/>
      <c r="I342" s="248"/>
      <c r="J342" s="248"/>
      <c r="K342" s="248"/>
      <c r="L342" s="248"/>
      <c r="M342" s="248"/>
      <c r="N342" s="248"/>
      <c r="O342" s="248"/>
      <c r="P342" s="248"/>
      <c r="Q342" s="248"/>
      <c r="R342" s="248"/>
      <c r="S342" s="248"/>
      <c r="T342" s="248"/>
      <c r="U342" s="248"/>
      <c r="V342" s="248"/>
      <c r="W342" s="248"/>
      <c r="X342" s="248"/>
      <c r="Y342" s="248"/>
      <c r="Z342" s="248"/>
      <c r="AA342" s="248"/>
      <c r="AB342" s="248"/>
    </row>
    <row r="343" spans="2:28" ht="15.75">
      <c r="B343" s="248"/>
      <c r="C343" s="248"/>
      <c r="D343" s="248"/>
      <c r="E343" s="248"/>
      <c r="F343" s="248"/>
      <c r="G343" s="248"/>
      <c r="H343" s="248"/>
      <c r="I343" s="248"/>
      <c r="J343" s="248"/>
      <c r="K343" s="248"/>
      <c r="L343" s="248"/>
      <c r="M343" s="248"/>
      <c r="N343" s="248"/>
      <c r="O343" s="248"/>
      <c r="P343" s="248"/>
      <c r="Q343" s="248"/>
      <c r="R343" s="248"/>
      <c r="S343" s="248"/>
      <c r="T343" s="248"/>
      <c r="U343" s="248"/>
      <c r="V343" s="248"/>
      <c r="W343" s="248"/>
      <c r="X343" s="248"/>
      <c r="Y343" s="248"/>
      <c r="Z343" s="248"/>
      <c r="AA343" s="248"/>
      <c r="AB343" s="248"/>
    </row>
    <row r="344" spans="2:28" ht="15.75">
      <c r="B344" s="248"/>
      <c r="C344" s="248"/>
      <c r="D344" s="248"/>
      <c r="E344" s="248"/>
      <c r="F344" s="248"/>
      <c r="G344" s="248"/>
      <c r="H344" s="248"/>
      <c r="I344" s="248"/>
      <c r="J344" s="248"/>
      <c r="K344" s="248"/>
      <c r="L344" s="248"/>
      <c r="M344" s="248"/>
      <c r="N344" s="248"/>
      <c r="O344" s="248"/>
      <c r="P344" s="248"/>
      <c r="Q344" s="248"/>
      <c r="R344" s="248"/>
      <c r="S344" s="248"/>
      <c r="T344" s="248"/>
      <c r="U344" s="248"/>
      <c r="V344" s="248"/>
      <c r="W344" s="248"/>
      <c r="X344" s="248"/>
      <c r="Y344" s="248"/>
      <c r="Z344" s="248"/>
      <c r="AA344" s="248"/>
      <c r="AB344" s="248"/>
    </row>
    <row r="345" spans="2:28" ht="15.75">
      <c r="B345" s="248"/>
      <c r="C345" s="248"/>
      <c r="D345" s="248"/>
      <c r="E345" s="248"/>
      <c r="F345" s="248"/>
      <c r="G345" s="248"/>
      <c r="H345" s="248"/>
      <c r="I345" s="248"/>
      <c r="J345" s="248"/>
      <c r="K345" s="248"/>
      <c r="L345" s="248"/>
      <c r="M345" s="248"/>
      <c r="N345" s="248"/>
      <c r="O345" s="248"/>
      <c r="P345" s="248"/>
      <c r="Q345" s="248"/>
      <c r="R345" s="248"/>
      <c r="S345" s="248"/>
      <c r="T345" s="248"/>
      <c r="U345" s="248"/>
      <c r="V345" s="248"/>
      <c r="W345" s="248"/>
      <c r="X345" s="248"/>
      <c r="Y345" s="248"/>
      <c r="Z345" s="248"/>
      <c r="AA345" s="248"/>
      <c r="AB345" s="248"/>
    </row>
    <row r="346" spans="2:28" ht="15.75">
      <c r="B346" s="248"/>
      <c r="C346" s="248"/>
      <c r="D346" s="248"/>
      <c r="E346" s="248"/>
      <c r="F346" s="248"/>
      <c r="G346" s="248"/>
      <c r="H346" s="248"/>
      <c r="I346" s="248"/>
      <c r="J346" s="248"/>
      <c r="K346" s="248"/>
      <c r="L346" s="248"/>
      <c r="M346" s="248"/>
      <c r="N346" s="248"/>
      <c r="O346" s="248"/>
      <c r="P346" s="248"/>
      <c r="Q346" s="248"/>
      <c r="R346" s="248"/>
      <c r="S346" s="248"/>
      <c r="T346" s="248"/>
      <c r="U346" s="248"/>
      <c r="V346" s="248"/>
      <c r="W346" s="248"/>
      <c r="X346" s="248"/>
      <c r="Y346" s="248"/>
      <c r="Z346" s="248"/>
      <c r="AA346" s="248"/>
      <c r="AB346" s="248"/>
    </row>
    <row r="347" spans="2:28" ht="15.75">
      <c r="B347" s="248"/>
      <c r="C347" s="248"/>
      <c r="D347" s="248"/>
      <c r="E347" s="248"/>
      <c r="F347" s="248"/>
      <c r="G347" s="248"/>
      <c r="H347" s="248"/>
      <c r="I347" s="248"/>
      <c r="J347" s="248"/>
      <c r="K347" s="248"/>
      <c r="L347" s="248"/>
      <c r="M347" s="248"/>
      <c r="N347" s="248"/>
      <c r="O347" s="248"/>
      <c r="P347" s="248"/>
      <c r="Q347" s="248"/>
      <c r="R347" s="248"/>
      <c r="S347" s="248"/>
      <c r="T347" s="248"/>
      <c r="U347" s="248"/>
      <c r="V347" s="248"/>
      <c r="W347" s="248"/>
      <c r="X347" s="248"/>
      <c r="Y347" s="248"/>
      <c r="Z347" s="248"/>
      <c r="AA347" s="248"/>
      <c r="AB347" s="248"/>
    </row>
    <row r="348" spans="2:28" ht="15.75">
      <c r="B348" s="248"/>
      <c r="C348" s="248"/>
      <c r="D348" s="248"/>
      <c r="E348" s="248"/>
      <c r="F348" s="248"/>
      <c r="G348" s="248"/>
      <c r="H348" s="248"/>
      <c r="I348" s="248"/>
      <c r="J348" s="248"/>
      <c r="K348" s="248"/>
      <c r="L348" s="248"/>
      <c r="M348" s="248"/>
      <c r="N348" s="248"/>
      <c r="O348" s="248"/>
      <c r="P348" s="248"/>
      <c r="Q348" s="248"/>
      <c r="R348" s="248"/>
      <c r="S348" s="248"/>
      <c r="T348" s="248"/>
      <c r="U348" s="248"/>
      <c r="V348" s="248"/>
      <c r="W348" s="248"/>
      <c r="X348" s="248"/>
      <c r="Y348" s="248"/>
      <c r="Z348" s="248"/>
      <c r="AA348" s="248"/>
      <c r="AB348" s="248"/>
    </row>
    <row r="349" spans="2:28" ht="15.75">
      <c r="B349" s="248"/>
      <c r="C349" s="248"/>
      <c r="D349" s="248"/>
      <c r="E349" s="248"/>
      <c r="F349" s="248"/>
      <c r="G349" s="248"/>
      <c r="H349" s="248"/>
      <c r="I349" s="248"/>
      <c r="J349" s="248"/>
      <c r="K349" s="248"/>
      <c r="L349" s="248"/>
      <c r="M349" s="248"/>
      <c r="N349" s="248"/>
      <c r="O349" s="248"/>
      <c r="P349" s="248"/>
      <c r="Q349" s="248"/>
      <c r="R349" s="248"/>
      <c r="S349" s="248"/>
      <c r="T349" s="248"/>
      <c r="U349" s="248"/>
      <c r="V349" s="248"/>
      <c r="W349" s="248"/>
      <c r="X349" s="248"/>
      <c r="Y349" s="248"/>
      <c r="Z349" s="248"/>
      <c r="AA349" s="248"/>
      <c r="AB349" s="248"/>
    </row>
    <row r="350" spans="2:28" ht="15.75">
      <c r="B350" s="248"/>
      <c r="C350" s="248"/>
      <c r="D350" s="248"/>
      <c r="E350" s="248"/>
      <c r="F350" s="248"/>
      <c r="G350" s="248"/>
      <c r="H350" s="248"/>
      <c r="I350" s="248"/>
      <c r="J350" s="248"/>
      <c r="K350" s="248"/>
      <c r="L350" s="248"/>
      <c r="M350" s="248"/>
      <c r="N350" s="248"/>
      <c r="O350" s="248"/>
      <c r="P350" s="248"/>
      <c r="Q350" s="248"/>
      <c r="R350" s="248"/>
      <c r="S350" s="248"/>
      <c r="T350" s="248"/>
      <c r="U350" s="248"/>
      <c r="V350" s="248"/>
      <c r="W350" s="248"/>
      <c r="X350" s="248"/>
      <c r="Y350" s="248"/>
      <c r="Z350" s="248"/>
      <c r="AA350" s="248"/>
      <c r="AB350" s="248"/>
    </row>
    <row r="351" spans="2:28" ht="15.75">
      <c r="B351" s="248"/>
      <c r="C351" s="248"/>
      <c r="D351" s="248"/>
      <c r="E351" s="248"/>
      <c r="F351" s="248"/>
      <c r="G351" s="248"/>
      <c r="H351" s="248"/>
      <c r="I351" s="248"/>
      <c r="J351" s="248"/>
      <c r="K351" s="248"/>
      <c r="L351" s="248"/>
      <c r="M351" s="248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8"/>
      <c r="AA351" s="248"/>
      <c r="AB351" s="248"/>
    </row>
    <row r="352" spans="2:28" ht="15.75">
      <c r="B352" s="248"/>
      <c r="C352" s="248"/>
      <c r="D352" s="248"/>
      <c r="E352" s="248"/>
      <c r="F352" s="248"/>
      <c r="G352" s="248"/>
      <c r="H352" s="248"/>
      <c r="I352" s="248"/>
      <c r="J352" s="248"/>
      <c r="K352" s="248"/>
      <c r="L352" s="248"/>
      <c r="M352" s="248"/>
      <c r="N352" s="248"/>
      <c r="O352" s="248"/>
      <c r="P352" s="248"/>
      <c r="Q352" s="248"/>
      <c r="R352" s="248"/>
      <c r="S352" s="248"/>
      <c r="T352" s="248"/>
      <c r="U352" s="248"/>
      <c r="V352" s="248"/>
      <c r="W352" s="248"/>
      <c r="X352" s="248"/>
      <c r="Y352" s="248"/>
      <c r="Z352" s="248"/>
      <c r="AA352" s="248"/>
      <c r="AB352" s="248"/>
    </row>
    <row r="353" spans="2:28" ht="15.75">
      <c r="B353" s="248"/>
      <c r="C353" s="248"/>
      <c r="D353" s="248"/>
      <c r="E353" s="248"/>
      <c r="F353" s="248"/>
      <c r="G353" s="248"/>
      <c r="H353" s="248"/>
      <c r="I353" s="248"/>
      <c r="J353" s="248"/>
      <c r="K353" s="248"/>
      <c r="L353" s="248"/>
      <c r="M353" s="248"/>
      <c r="N353" s="248"/>
      <c r="O353" s="248"/>
      <c r="P353" s="248"/>
      <c r="Q353" s="248"/>
      <c r="R353" s="248"/>
      <c r="S353" s="248"/>
      <c r="T353" s="248"/>
      <c r="U353" s="248"/>
      <c r="V353" s="248"/>
      <c r="W353" s="248"/>
      <c r="X353" s="248"/>
      <c r="Y353" s="248"/>
      <c r="Z353" s="248"/>
      <c r="AA353" s="248"/>
      <c r="AB353" s="248"/>
    </row>
    <row r="354" spans="2:28" ht="15.75">
      <c r="B354" s="248"/>
      <c r="C354" s="248"/>
      <c r="D354" s="248"/>
      <c r="E354" s="248"/>
      <c r="F354" s="248"/>
      <c r="G354" s="248"/>
      <c r="H354" s="248"/>
      <c r="I354" s="248"/>
      <c r="J354" s="248"/>
      <c r="K354" s="248"/>
      <c r="L354" s="248"/>
      <c r="M354" s="248"/>
      <c r="N354" s="248"/>
      <c r="O354" s="248"/>
      <c r="P354" s="248"/>
      <c r="Q354" s="248"/>
      <c r="R354" s="248"/>
      <c r="S354" s="248"/>
      <c r="T354" s="248"/>
      <c r="U354" s="248"/>
      <c r="V354" s="248"/>
      <c r="W354" s="248"/>
      <c r="X354" s="248"/>
      <c r="Y354" s="248"/>
      <c r="Z354" s="248"/>
      <c r="AA354" s="248"/>
      <c r="AB354" s="248"/>
    </row>
    <row r="355" spans="2:28" ht="15.75">
      <c r="B355" s="248"/>
      <c r="C355" s="248"/>
      <c r="D355" s="248"/>
      <c r="E355" s="248"/>
      <c r="F355" s="248"/>
      <c r="G355" s="248"/>
      <c r="H355" s="248"/>
      <c r="I355" s="248"/>
      <c r="J355" s="248"/>
      <c r="K355" s="248"/>
      <c r="L355" s="248"/>
      <c r="M355" s="248"/>
      <c r="N355" s="248"/>
      <c r="O355" s="248"/>
      <c r="P355" s="248"/>
      <c r="Q355" s="248"/>
      <c r="R355" s="248"/>
      <c r="S355" s="248"/>
      <c r="T355" s="248"/>
      <c r="U355" s="248"/>
      <c r="V355" s="248"/>
      <c r="W355" s="248"/>
      <c r="X355" s="248"/>
      <c r="Y355" s="248"/>
      <c r="Z355" s="248"/>
      <c r="AA355" s="248"/>
      <c r="AB355" s="248"/>
    </row>
    <row r="356" spans="2:28" ht="15.75">
      <c r="B356" s="248"/>
      <c r="C356" s="248"/>
      <c r="D356" s="248"/>
      <c r="E356" s="248"/>
      <c r="F356" s="248"/>
      <c r="G356" s="248"/>
      <c r="H356" s="248"/>
      <c r="I356" s="248"/>
      <c r="J356" s="248"/>
      <c r="K356" s="248"/>
      <c r="L356" s="248"/>
      <c r="M356" s="248"/>
      <c r="N356" s="248"/>
      <c r="O356" s="248"/>
      <c r="P356" s="248"/>
      <c r="Q356" s="248"/>
      <c r="R356" s="248"/>
      <c r="S356" s="248"/>
      <c r="T356" s="248"/>
      <c r="U356" s="248"/>
      <c r="V356" s="248"/>
      <c r="W356" s="248"/>
      <c r="X356" s="248"/>
      <c r="Y356" s="248"/>
      <c r="Z356" s="248"/>
      <c r="AA356" s="248"/>
      <c r="AB356" s="248"/>
    </row>
    <row r="357" spans="2:28" ht="15.75">
      <c r="B357" s="248"/>
      <c r="C357" s="248"/>
      <c r="D357" s="248"/>
      <c r="E357" s="248"/>
      <c r="F357" s="248"/>
      <c r="G357" s="248"/>
      <c r="H357" s="248"/>
      <c r="I357" s="248"/>
      <c r="J357" s="248"/>
      <c r="K357" s="248"/>
      <c r="L357" s="248"/>
      <c r="M357" s="248"/>
      <c r="N357" s="248"/>
      <c r="O357" s="248"/>
      <c r="P357" s="248"/>
      <c r="Q357" s="248"/>
      <c r="R357" s="248"/>
      <c r="S357" s="248"/>
      <c r="T357" s="248"/>
      <c r="U357" s="248"/>
      <c r="V357" s="248"/>
      <c r="W357" s="248"/>
      <c r="X357" s="248"/>
      <c r="Y357" s="248"/>
      <c r="Z357" s="248"/>
      <c r="AA357" s="248"/>
      <c r="AB357" s="248"/>
    </row>
    <row r="358" spans="2:28" ht="15.7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A358" s="248"/>
      <c r="AB358" s="248"/>
    </row>
    <row r="359" spans="2:28" ht="15.7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A359" s="248"/>
      <c r="AB359" s="248"/>
    </row>
    <row r="360" spans="2:28" ht="15.75"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  <c r="AA360" s="248"/>
      <c r="AB360" s="248"/>
    </row>
    <row r="361" spans="2:28" ht="15.75">
      <c r="B361" s="248"/>
      <c r="C361" s="248"/>
      <c r="D361" s="248"/>
      <c r="E361" s="248"/>
      <c r="F361" s="248"/>
      <c r="G361" s="248"/>
      <c r="H361" s="248"/>
      <c r="I361" s="248"/>
      <c r="J361" s="248"/>
      <c r="K361" s="248"/>
      <c r="L361" s="248"/>
      <c r="M361" s="248"/>
      <c r="N361" s="248"/>
      <c r="O361" s="248"/>
      <c r="P361" s="248"/>
      <c r="Q361" s="248"/>
      <c r="R361" s="248"/>
      <c r="S361" s="248"/>
      <c r="T361" s="248"/>
      <c r="U361" s="248"/>
      <c r="V361" s="248"/>
      <c r="W361" s="248"/>
      <c r="X361" s="248"/>
      <c r="Y361" s="248"/>
      <c r="Z361" s="248"/>
      <c r="AA361" s="248"/>
      <c r="AB361" s="248"/>
    </row>
    <row r="362" spans="2:28" ht="15.75">
      <c r="B362" s="248"/>
      <c r="C362" s="248"/>
      <c r="D362" s="248"/>
      <c r="E362" s="248"/>
      <c r="F362" s="248"/>
      <c r="G362" s="248"/>
      <c r="H362" s="248"/>
      <c r="I362" s="248"/>
      <c r="J362" s="248"/>
      <c r="K362" s="248"/>
      <c r="L362" s="248"/>
      <c r="M362" s="248"/>
      <c r="N362" s="248"/>
      <c r="O362" s="248"/>
      <c r="P362" s="248"/>
      <c r="Q362" s="248"/>
      <c r="R362" s="248"/>
      <c r="S362" s="248"/>
      <c r="T362" s="248"/>
      <c r="U362" s="248"/>
      <c r="V362" s="248"/>
      <c r="W362" s="248"/>
      <c r="X362" s="248"/>
      <c r="Y362" s="248"/>
      <c r="Z362" s="248"/>
      <c r="AA362" s="248"/>
      <c r="AB362" s="248"/>
    </row>
    <row r="363" spans="2:28" ht="15.75">
      <c r="B363" s="248"/>
      <c r="C363" s="248"/>
      <c r="D363" s="248"/>
      <c r="E363" s="248"/>
      <c r="F363" s="248"/>
      <c r="G363" s="248"/>
      <c r="H363" s="248"/>
      <c r="I363" s="248"/>
      <c r="J363" s="248"/>
      <c r="K363" s="248"/>
      <c r="L363" s="248"/>
      <c r="M363" s="248"/>
      <c r="N363" s="248"/>
      <c r="O363" s="248"/>
      <c r="P363" s="248"/>
      <c r="Q363" s="248"/>
      <c r="R363" s="248"/>
      <c r="S363" s="248"/>
      <c r="T363" s="248"/>
      <c r="U363" s="248"/>
      <c r="V363" s="248"/>
      <c r="W363" s="248"/>
      <c r="X363" s="248"/>
      <c r="Y363" s="248"/>
      <c r="Z363" s="248"/>
      <c r="AA363" s="248"/>
      <c r="AB363" s="248"/>
    </row>
    <row r="364" spans="2:28" ht="15.75">
      <c r="B364" s="248"/>
      <c r="C364" s="248"/>
      <c r="D364" s="248"/>
      <c r="E364" s="248"/>
      <c r="F364" s="248"/>
      <c r="G364" s="248"/>
      <c r="H364" s="248"/>
      <c r="I364" s="248"/>
      <c r="J364" s="248"/>
      <c r="K364" s="248"/>
      <c r="L364" s="248"/>
      <c r="M364" s="248"/>
      <c r="N364" s="248"/>
      <c r="O364" s="248"/>
      <c r="P364" s="248"/>
      <c r="Q364" s="248"/>
      <c r="R364" s="248"/>
      <c r="S364" s="248"/>
      <c r="T364" s="248"/>
      <c r="U364" s="248"/>
      <c r="V364" s="248"/>
      <c r="W364" s="248"/>
      <c r="X364" s="248"/>
      <c r="Y364" s="248"/>
      <c r="Z364" s="248"/>
      <c r="AA364" s="248"/>
      <c r="AB364" s="248"/>
    </row>
    <row r="365" spans="2:28" ht="15.75">
      <c r="B365" s="248"/>
      <c r="C365" s="248"/>
      <c r="D365" s="248"/>
      <c r="E365" s="248"/>
      <c r="F365" s="248"/>
      <c r="G365" s="248"/>
      <c r="H365" s="248"/>
      <c r="I365" s="248"/>
      <c r="J365" s="248"/>
      <c r="K365" s="248"/>
      <c r="L365" s="248"/>
      <c r="M365" s="248"/>
      <c r="N365" s="248"/>
      <c r="O365" s="248"/>
      <c r="P365" s="248"/>
      <c r="Q365" s="248"/>
      <c r="R365" s="248"/>
      <c r="S365" s="248"/>
      <c r="T365" s="248"/>
      <c r="U365" s="248"/>
      <c r="V365" s="248"/>
      <c r="W365" s="248"/>
      <c r="X365" s="248"/>
      <c r="Y365" s="248"/>
      <c r="Z365" s="248"/>
      <c r="AA365" s="248"/>
      <c r="AB365" s="248"/>
    </row>
    <row r="366" spans="2:28" ht="15.75">
      <c r="B366" s="248"/>
      <c r="C366" s="248"/>
      <c r="D366" s="248"/>
      <c r="E366" s="248"/>
      <c r="F366" s="248"/>
      <c r="G366" s="248"/>
      <c r="H366" s="248"/>
      <c r="I366" s="248"/>
      <c r="J366" s="248"/>
      <c r="K366" s="248"/>
      <c r="L366" s="248"/>
      <c r="M366" s="248"/>
      <c r="N366" s="248"/>
      <c r="O366" s="248"/>
      <c r="P366" s="248"/>
      <c r="Q366" s="248"/>
      <c r="R366" s="248"/>
      <c r="S366" s="248"/>
      <c r="T366" s="248"/>
      <c r="U366" s="248"/>
      <c r="V366" s="248"/>
      <c r="W366" s="248"/>
      <c r="X366" s="248"/>
      <c r="Y366" s="248"/>
      <c r="Z366" s="248"/>
      <c r="AA366" s="248"/>
      <c r="AB366" s="248"/>
    </row>
    <row r="367" spans="2:28" ht="15.75">
      <c r="B367" s="248"/>
      <c r="C367" s="248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</row>
    <row r="368" spans="2:28" ht="15.75">
      <c r="B368" s="248"/>
      <c r="C368" s="248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</row>
    <row r="369" spans="2:28" ht="15.75">
      <c r="B369" s="248"/>
      <c r="C369" s="248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</row>
    <row r="370" spans="2:28" ht="15.75">
      <c r="B370" s="248"/>
      <c r="C370" s="248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</row>
    <row r="371" spans="2:28" ht="15.75">
      <c r="B371" s="248"/>
      <c r="C371" s="248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</row>
    <row r="372" spans="2:28" ht="15.75">
      <c r="B372" s="248"/>
      <c r="C372" s="248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</row>
    <row r="373" spans="2:28" ht="15.75">
      <c r="B373" s="248"/>
      <c r="C373" s="248"/>
      <c r="D373" s="248"/>
      <c r="E373" s="248"/>
      <c r="F373" s="248"/>
      <c r="G373" s="248"/>
      <c r="H373" s="248"/>
      <c r="I373" s="248"/>
      <c r="J373" s="248"/>
      <c r="K373" s="248"/>
      <c r="L373" s="248"/>
      <c r="M373" s="248"/>
      <c r="N373" s="248"/>
      <c r="O373" s="248"/>
      <c r="P373" s="248"/>
      <c r="Q373" s="248"/>
      <c r="R373" s="248"/>
      <c r="S373" s="248"/>
      <c r="T373" s="248"/>
      <c r="U373" s="248"/>
      <c r="V373" s="248"/>
      <c r="W373" s="248"/>
      <c r="X373" s="248"/>
      <c r="Y373" s="248"/>
      <c r="Z373" s="248"/>
      <c r="AA373" s="248"/>
      <c r="AB373" s="248"/>
    </row>
    <row r="374" spans="2:28" ht="15.75">
      <c r="B374" s="248"/>
      <c r="C374" s="248"/>
      <c r="D374" s="248"/>
      <c r="E374" s="248"/>
      <c r="F374" s="248"/>
      <c r="G374" s="248"/>
      <c r="H374" s="248"/>
      <c r="I374" s="248"/>
      <c r="J374" s="248"/>
      <c r="K374" s="248"/>
      <c r="L374" s="248"/>
      <c r="M374" s="248"/>
      <c r="N374" s="248"/>
      <c r="O374" s="248"/>
      <c r="P374" s="248"/>
      <c r="Q374" s="248"/>
      <c r="R374" s="248"/>
      <c r="S374" s="248"/>
      <c r="T374" s="248"/>
      <c r="U374" s="248"/>
      <c r="V374" s="248"/>
      <c r="W374" s="248"/>
      <c r="X374" s="248"/>
      <c r="Y374" s="248"/>
      <c r="Z374" s="248"/>
      <c r="AA374" s="248"/>
      <c r="AB374" s="248"/>
    </row>
    <row r="375" spans="2:28" ht="15.75">
      <c r="B375" s="248"/>
      <c r="C375" s="248"/>
      <c r="D375" s="248"/>
      <c r="E375" s="248"/>
      <c r="F375" s="248"/>
      <c r="G375" s="248"/>
      <c r="H375" s="248"/>
      <c r="I375" s="248"/>
      <c r="J375" s="248"/>
      <c r="K375" s="248"/>
      <c r="L375" s="248"/>
      <c r="M375" s="248"/>
      <c r="N375" s="248"/>
      <c r="O375" s="248"/>
      <c r="P375" s="248"/>
      <c r="Q375" s="248"/>
      <c r="R375" s="248"/>
      <c r="S375" s="248"/>
      <c r="T375" s="248"/>
      <c r="U375" s="248"/>
      <c r="V375" s="248"/>
      <c r="W375" s="248"/>
      <c r="X375" s="248"/>
      <c r="Y375" s="248"/>
      <c r="Z375" s="248"/>
      <c r="AA375" s="248"/>
      <c r="AB375" s="248"/>
    </row>
    <row r="376" spans="2:28" ht="15.75">
      <c r="B376" s="248"/>
      <c r="C376" s="248"/>
      <c r="D376" s="248"/>
      <c r="E376" s="248"/>
      <c r="F376" s="248"/>
      <c r="G376" s="248"/>
      <c r="H376" s="248"/>
      <c r="I376" s="248"/>
      <c r="J376" s="248"/>
      <c r="K376" s="248"/>
      <c r="L376" s="248"/>
      <c r="M376" s="248"/>
      <c r="N376" s="248"/>
      <c r="O376" s="248"/>
      <c r="P376" s="248"/>
      <c r="Q376" s="248"/>
      <c r="R376" s="248"/>
      <c r="S376" s="248"/>
      <c r="T376" s="248"/>
      <c r="U376" s="248"/>
      <c r="V376" s="248"/>
      <c r="W376" s="248"/>
      <c r="X376" s="248"/>
      <c r="Y376" s="248"/>
      <c r="Z376" s="248"/>
      <c r="AA376" s="248"/>
      <c r="AB376" s="248"/>
    </row>
    <row r="377" spans="2:28" ht="15.75">
      <c r="B377" s="248"/>
      <c r="C377" s="248"/>
      <c r="D377" s="248"/>
      <c r="E377" s="248"/>
      <c r="F377" s="248"/>
      <c r="G377" s="248"/>
      <c r="H377" s="248"/>
      <c r="I377" s="248"/>
      <c r="J377" s="248"/>
      <c r="K377" s="248"/>
      <c r="L377" s="248"/>
      <c r="M377" s="248"/>
      <c r="N377" s="248"/>
      <c r="O377" s="248"/>
      <c r="P377" s="248"/>
      <c r="Q377" s="248"/>
      <c r="R377" s="248"/>
      <c r="S377" s="248"/>
      <c r="T377" s="248"/>
      <c r="U377" s="248"/>
      <c r="V377" s="248"/>
      <c r="W377" s="248"/>
      <c r="X377" s="248"/>
      <c r="Y377" s="248"/>
      <c r="Z377" s="248"/>
      <c r="AA377" s="248"/>
      <c r="AB377" s="248"/>
    </row>
    <row r="378" spans="2:28" ht="15.75">
      <c r="B378" s="248"/>
      <c r="C378" s="248"/>
      <c r="D378" s="248"/>
      <c r="E378" s="248"/>
      <c r="F378" s="248"/>
      <c r="G378" s="248"/>
      <c r="H378" s="248"/>
      <c r="I378" s="248"/>
      <c r="J378" s="248"/>
      <c r="K378" s="248"/>
      <c r="L378" s="248"/>
      <c r="M378" s="248"/>
      <c r="N378" s="248"/>
      <c r="O378" s="248"/>
      <c r="P378" s="248"/>
      <c r="Q378" s="248"/>
      <c r="R378" s="248"/>
      <c r="S378" s="248"/>
      <c r="T378" s="248"/>
      <c r="U378" s="248"/>
      <c r="V378" s="248"/>
      <c r="W378" s="248"/>
      <c r="X378" s="248"/>
      <c r="Y378" s="248"/>
      <c r="Z378" s="248"/>
      <c r="AA378" s="248"/>
      <c r="AB378" s="248"/>
    </row>
    <row r="379" spans="2:28" ht="15.75">
      <c r="B379" s="248"/>
      <c r="C379" s="248"/>
      <c r="D379" s="248"/>
      <c r="E379" s="248"/>
      <c r="F379" s="248"/>
      <c r="G379" s="248"/>
      <c r="H379" s="248"/>
      <c r="I379" s="248"/>
      <c r="J379" s="248"/>
      <c r="K379" s="248"/>
      <c r="L379" s="248"/>
      <c r="M379" s="248"/>
      <c r="N379" s="248"/>
      <c r="O379" s="248"/>
      <c r="P379" s="248"/>
      <c r="Q379" s="248"/>
      <c r="R379" s="248"/>
      <c r="S379" s="248"/>
      <c r="T379" s="248"/>
      <c r="U379" s="248"/>
      <c r="V379" s="248"/>
      <c r="W379" s="248"/>
      <c r="X379" s="248"/>
      <c r="Y379" s="248"/>
      <c r="Z379" s="248"/>
      <c r="AA379" s="248"/>
      <c r="AB379" s="248"/>
    </row>
    <row r="380" spans="2:28" ht="15.75">
      <c r="B380" s="248"/>
      <c r="C380" s="248"/>
      <c r="D380" s="248"/>
      <c r="E380" s="248"/>
      <c r="F380" s="248"/>
      <c r="G380" s="248"/>
      <c r="H380" s="248"/>
      <c r="I380" s="248"/>
      <c r="J380" s="248"/>
      <c r="K380" s="248"/>
      <c r="L380" s="248"/>
      <c r="M380" s="248"/>
      <c r="N380" s="248"/>
      <c r="O380" s="248"/>
      <c r="P380" s="248"/>
      <c r="Q380" s="248"/>
      <c r="R380" s="248"/>
      <c r="S380" s="248"/>
      <c r="T380" s="248"/>
      <c r="U380" s="248"/>
      <c r="V380" s="248"/>
      <c r="W380" s="248"/>
      <c r="X380" s="248"/>
      <c r="Y380" s="248"/>
      <c r="Z380" s="248"/>
      <c r="AA380" s="248"/>
      <c r="AB380" s="248"/>
    </row>
    <row r="381" spans="2:28" ht="15.75">
      <c r="B381" s="248"/>
      <c r="C381" s="248"/>
      <c r="D381" s="248"/>
      <c r="E381" s="248"/>
      <c r="F381" s="248"/>
      <c r="G381" s="248"/>
      <c r="H381" s="248"/>
      <c r="I381" s="248"/>
      <c r="J381" s="248"/>
      <c r="K381" s="248"/>
      <c r="L381" s="248"/>
      <c r="M381" s="248"/>
      <c r="N381" s="248"/>
      <c r="O381" s="248"/>
      <c r="P381" s="248"/>
      <c r="Q381" s="248"/>
      <c r="R381" s="248"/>
      <c r="S381" s="248"/>
      <c r="T381" s="248"/>
      <c r="U381" s="248"/>
      <c r="V381" s="248"/>
      <c r="W381" s="248"/>
      <c r="X381" s="248"/>
      <c r="Y381" s="248"/>
      <c r="Z381" s="248"/>
      <c r="AA381" s="248"/>
      <c r="AB381" s="248"/>
    </row>
    <row r="382" spans="2:28" ht="15.75">
      <c r="B382" s="248"/>
      <c r="C382" s="248"/>
      <c r="D382" s="248"/>
      <c r="E382" s="248"/>
      <c r="F382" s="248"/>
      <c r="G382" s="248"/>
      <c r="H382" s="248"/>
      <c r="I382" s="248"/>
      <c r="J382" s="248"/>
      <c r="K382" s="248"/>
      <c r="L382" s="248"/>
      <c r="M382" s="248"/>
      <c r="N382" s="248"/>
      <c r="O382" s="248"/>
      <c r="P382" s="248"/>
      <c r="Q382" s="248"/>
      <c r="R382" s="248"/>
      <c r="S382" s="248"/>
      <c r="T382" s="248"/>
      <c r="U382" s="248"/>
      <c r="V382" s="248"/>
      <c r="W382" s="248"/>
      <c r="X382" s="248"/>
      <c r="Y382" s="248"/>
      <c r="Z382" s="248"/>
      <c r="AA382" s="248"/>
      <c r="AB382" s="248"/>
    </row>
    <row r="383" spans="2:28" ht="15.75">
      <c r="B383" s="248"/>
      <c r="C383" s="248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</row>
    <row r="384" spans="2:28" ht="15.75">
      <c r="B384" s="248"/>
      <c r="C384" s="248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</row>
    <row r="385" spans="2:28" ht="15.75">
      <c r="B385" s="248"/>
      <c r="C385" s="248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</row>
    <row r="386" spans="2:28" ht="15.75">
      <c r="B386" s="248"/>
      <c r="C386" s="248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</row>
    <row r="387" spans="2:28" ht="15.75">
      <c r="B387" s="248"/>
      <c r="C387" s="248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</row>
    <row r="388" spans="2:28" ht="15.75">
      <c r="B388" s="248"/>
      <c r="C388" s="248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</row>
    <row r="389" spans="2:28" ht="15.75">
      <c r="B389" s="248"/>
      <c r="C389" s="248"/>
      <c r="D389" s="248"/>
      <c r="E389" s="248"/>
      <c r="F389" s="248"/>
      <c r="G389" s="248"/>
      <c r="H389" s="248"/>
      <c r="I389" s="248"/>
      <c r="J389" s="248"/>
      <c r="K389" s="248"/>
      <c r="L389" s="248"/>
      <c r="M389" s="248"/>
      <c r="N389" s="248"/>
      <c r="O389" s="248"/>
      <c r="P389" s="248"/>
      <c r="Q389" s="248"/>
      <c r="R389" s="248"/>
      <c r="S389" s="248"/>
      <c r="T389" s="248"/>
      <c r="U389" s="248"/>
      <c r="V389" s="248"/>
      <c r="W389" s="248"/>
      <c r="X389" s="248"/>
      <c r="Y389" s="248"/>
      <c r="Z389" s="248"/>
      <c r="AA389" s="248"/>
      <c r="AB389" s="248"/>
    </row>
    <row r="390" spans="2:28" ht="15.75">
      <c r="B390" s="248"/>
      <c r="C390" s="248"/>
      <c r="D390" s="248"/>
      <c r="E390" s="248"/>
      <c r="F390" s="248"/>
      <c r="G390" s="248"/>
      <c r="H390" s="248"/>
      <c r="I390" s="248"/>
      <c r="J390" s="248"/>
      <c r="K390" s="248"/>
      <c r="L390" s="248"/>
      <c r="M390" s="248"/>
      <c r="N390" s="248"/>
      <c r="O390" s="248"/>
      <c r="P390" s="248"/>
      <c r="Q390" s="248"/>
      <c r="R390" s="248"/>
      <c r="S390" s="248"/>
      <c r="T390" s="248"/>
      <c r="U390" s="248"/>
      <c r="V390" s="248"/>
      <c r="W390" s="248"/>
      <c r="X390" s="248"/>
      <c r="Y390" s="248"/>
      <c r="Z390" s="248"/>
      <c r="AA390" s="248"/>
      <c r="AB390" s="248"/>
    </row>
    <row r="391" spans="2:28" ht="15.75">
      <c r="B391" s="248"/>
      <c r="C391" s="248"/>
      <c r="D391" s="248"/>
      <c r="E391" s="248"/>
      <c r="F391" s="248"/>
      <c r="G391" s="248"/>
      <c r="H391" s="248"/>
      <c r="I391" s="248"/>
      <c r="J391" s="248"/>
      <c r="K391" s="248"/>
      <c r="L391" s="248"/>
      <c r="M391" s="248"/>
      <c r="N391" s="248"/>
      <c r="O391" s="248"/>
      <c r="P391" s="248"/>
      <c r="Q391" s="248"/>
      <c r="R391" s="248"/>
      <c r="S391" s="248"/>
      <c r="T391" s="248"/>
      <c r="U391" s="248"/>
      <c r="V391" s="248"/>
      <c r="W391" s="248"/>
      <c r="X391" s="248"/>
      <c r="Y391" s="248"/>
      <c r="Z391" s="248"/>
      <c r="AA391" s="248"/>
      <c r="AB391" s="248"/>
    </row>
    <row r="392" spans="2:28" ht="15.75">
      <c r="B392" s="248"/>
      <c r="C392" s="248"/>
      <c r="D392" s="248"/>
      <c r="E392" s="248"/>
      <c r="F392" s="248"/>
      <c r="G392" s="248"/>
      <c r="H392" s="248"/>
      <c r="I392" s="248"/>
      <c r="J392" s="248"/>
      <c r="K392" s="248"/>
      <c r="L392" s="248"/>
      <c r="M392" s="248"/>
      <c r="N392" s="248"/>
      <c r="O392" s="248"/>
      <c r="P392" s="248"/>
      <c r="Q392" s="248"/>
      <c r="R392" s="248"/>
      <c r="S392" s="248"/>
      <c r="T392" s="248"/>
      <c r="U392" s="248"/>
      <c r="V392" s="248"/>
      <c r="W392" s="248"/>
      <c r="X392" s="248"/>
      <c r="Y392" s="248"/>
      <c r="Z392" s="248"/>
      <c r="AA392" s="248"/>
      <c r="AB392" s="248"/>
    </row>
    <row r="393" spans="2:28" ht="15.75">
      <c r="B393" s="248"/>
      <c r="C393" s="248"/>
      <c r="D393" s="248"/>
      <c r="E393" s="248"/>
      <c r="F393" s="248"/>
      <c r="G393" s="248"/>
      <c r="H393" s="248"/>
      <c r="I393" s="248"/>
      <c r="J393" s="248"/>
      <c r="K393" s="248"/>
      <c r="L393" s="248"/>
      <c r="M393" s="248"/>
      <c r="N393" s="248"/>
      <c r="O393" s="248"/>
      <c r="P393" s="248"/>
      <c r="Q393" s="248"/>
      <c r="R393" s="248"/>
      <c r="S393" s="248"/>
      <c r="T393" s="248"/>
      <c r="U393" s="248"/>
      <c r="V393" s="248"/>
      <c r="W393" s="248"/>
      <c r="X393" s="248"/>
      <c r="Y393" s="248"/>
      <c r="Z393" s="248"/>
      <c r="AA393" s="248"/>
      <c r="AB393" s="248"/>
    </row>
    <row r="394" spans="2:28" ht="15.75">
      <c r="B394" s="248"/>
      <c r="C394" s="248"/>
      <c r="D394" s="248"/>
      <c r="E394" s="248"/>
      <c r="F394" s="248"/>
      <c r="G394" s="248"/>
      <c r="H394" s="248"/>
      <c r="I394" s="248"/>
      <c r="J394" s="248"/>
      <c r="K394" s="248"/>
      <c r="L394" s="248"/>
      <c r="M394" s="248"/>
      <c r="N394" s="248"/>
      <c r="O394" s="248"/>
      <c r="P394" s="248"/>
      <c r="Q394" s="248"/>
      <c r="R394" s="248"/>
      <c r="S394" s="248"/>
      <c r="T394" s="248"/>
      <c r="U394" s="248"/>
      <c r="V394" s="248"/>
      <c r="W394" s="248"/>
      <c r="X394" s="248"/>
      <c r="Y394" s="248"/>
      <c r="Z394" s="248"/>
      <c r="AA394" s="248"/>
      <c r="AB394" s="248"/>
    </row>
    <row r="395" spans="2:28" ht="15.75">
      <c r="B395" s="248"/>
      <c r="C395" s="248"/>
      <c r="D395" s="248"/>
      <c r="E395" s="248"/>
      <c r="F395" s="248"/>
      <c r="G395" s="248"/>
      <c r="H395" s="248"/>
      <c r="I395" s="248"/>
      <c r="J395" s="248"/>
      <c r="K395" s="248"/>
      <c r="L395" s="248"/>
      <c r="M395" s="248"/>
      <c r="N395" s="248"/>
      <c r="O395" s="248"/>
      <c r="P395" s="248"/>
      <c r="Q395" s="248"/>
      <c r="R395" s="248"/>
      <c r="S395" s="248"/>
      <c r="T395" s="248"/>
      <c r="U395" s="248"/>
      <c r="V395" s="248"/>
      <c r="W395" s="248"/>
      <c r="X395" s="248"/>
      <c r="Y395" s="248"/>
      <c r="Z395" s="248"/>
      <c r="AA395" s="248"/>
      <c r="AB395" s="248"/>
    </row>
    <row r="396" spans="2:28" ht="15.75">
      <c r="B396" s="248"/>
      <c r="C396" s="248"/>
      <c r="D396" s="248"/>
      <c r="E396" s="248"/>
      <c r="F396" s="248"/>
      <c r="G396" s="248"/>
      <c r="H396" s="248"/>
      <c r="I396" s="248"/>
      <c r="J396" s="248"/>
      <c r="K396" s="248"/>
      <c r="L396" s="248"/>
      <c r="M396" s="248"/>
      <c r="N396" s="248"/>
      <c r="O396" s="248"/>
      <c r="P396" s="248"/>
      <c r="Q396" s="248"/>
      <c r="R396" s="248"/>
      <c r="S396" s="248"/>
      <c r="T396" s="248"/>
      <c r="U396" s="248"/>
      <c r="V396" s="248"/>
      <c r="W396" s="248"/>
      <c r="X396" s="248"/>
      <c r="Y396" s="248"/>
      <c r="Z396" s="248"/>
      <c r="AA396" s="248"/>
      <c r="AB396" s="248"/>
    </row>
    <row r="397" spans="2:28" ht="15.75">
      <c r="B397" s="248"/>
      <c r="C397" s="248"/>
      <c r="D397" s="248"/>
      <c r="E397" s="248"/>
      <c r="F397" s="248"/>
      <c r="G397" s="248"/>
      <c r="H397" s="248"/>
      <c r="I397" s="248"/>
      <c r="J397" s="248"/>
      <c r="K397" s="248"/>
      <c r="L397" s="248"/>
      <c r="M397" s="248"/>
      <c r="N397" s="248"/>
      <c r="O397" s="248"/>
      <c r="P397" s="248"/>
      <c r="Q397" s="248"/>
      <c r="R397" s="248"/>
      <c r="S397" s="248"/>
      <c r="T397" s="248"/>
      <c r="U397" s="248"/>
      <c r="V397" s="248"/>
      <c r="W397" s="248"/>
      <c r="X397" s="248"/>
      <c r="Y397" s="248"/>
      <c r="Z397" s="248"/>
      <c r="AA397" s="248"/>
      <c r="AB397" s="248"/>
    </row>
    <row r="398" spans="2:28" ht="15.75"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248"/>
      <c r="M398" s="248"/>
      <c r="N398" s="248"/>
      <c r="O398" s="248"/>
      <c r="P398" s="248"/>
      <c r="Q398" s="248"/>
      <c r="R398" s="248"/>
      <c r="S398" s="248"/>
      <c r="T398" s="248"/>
      <c r="U398" s="248"/>
      <c r="V398" s="248"/>
      <c r="W398" s="248"/>
      <c r="X398" s="248"/>
      <c r="Y398" s="248"/>
      <c r="Z398" s="248"/>
      <c r="AA398" s="248"/>
      <c r="AB398" s="248"/>
    </row>
    <row r="399" spans="2:28" ht="15.75">
      <c r="B399" s="248"/>
      <c r="C399" s="248"/>
      <c r="D399" s="248"/>
      <c r="E399" s="248"/>
      <c r="F399" s="248"/>
      <c r="G399" s="248"/>
      <c r="H399" s="248"/>
      <c r="I399" s="248"/>
      <c r="J399" s="248"/>
      <c r="K399" s="248"/>
      <c r="L399" s="248"/>
      <c r="M399" s="248"/>
      <c r="N399" s="248"/>
      <c r="O399" s="248"/>
      <c r="P399" s="248"/>
      <c r="Q399" s="248"/>
      <c r="R399" s="248"/>
      <c r="S399" s="248"/>
      <c r="T399" s="248"/>
      <c r="U399" s="248"/>
      <c r="V399" s="248"/>
      <c r="W399" s="248"/>
      <c r="X399" s="248"/>
      <c r="Y399" s="248"/>
      <c r="Z399" s="248"/>
      <c r="AA399" s="248"/>
      <c r="AB399" s="248"/>
    </row>
    <row r="400" spans="2:28" ht="15.75">
      <c r="B400" s="248"/>
      <c r="C400" s="248"/>
      <c r="D400" s="248"/>
      <c r="E400" s="248"/>
      <c r="F400" s="248"/>
      <c r="G400" s="248"/>
      <c r="H400" s="248"/>
      <c r="I400" s="248"/>
      <c r="J400" s="248"/>
      <c r="K400" s="248"/>
      <c r="L400" s="248"/>
      <c r="M400" s="248"/>
      <c r="N400" s="248"/>
      <c r="O400" s="248"/>
      <c r="P400" s="248"/>
      <c r="Q400" s="248"/>
      <c r="R400" s="248"/>
      <c r="S400" s="248"/>
      <c r="T400" s="248"/>
      <c r="U400" s="248"/>
      <c r="V400" s="248"/>
      <c r="W400" s="248"/>
      <c r="X400" s="248"/>
      <c r="Y400" s="248"/>
      <c r="Z400" s="248"/>
      <c r="AA400" s="248"/>
      <c r="AB400" s="248"/>
    </row>
    <row r="401" spans="2:28" ht="15.75">
      <c r="B401" s="248"/>
      <c r="C401" s="248"/>
      <c r="D401" s="248"/>
      <c r="E401" s="248"/>
      <c r="F401" s="248"/>
      <c r="G401" s="248"/>
      <c r="H401" s="248"/>
      <c r="I401" s="248"/>
      <c r="J401" s="248"/>
      <c r="K401" s="248"/>
      <c r="L401" s="248"/>
      <c r="M401" s="248"/>
      <c r="N401" s="248"/>
      <c r="O401" s="248"/>
      <c r="P401" s="248"/>
      <c r="Q401" s="248"/>
      <c r="R401" s="248"/>
      <c r="S401" s="248"/>
      <c r="T401" s="248"/>
      <c r="U401" s="248"/>
      <c r="V401" s="248"/>
      <c r="W401" s="248"/>
      <c r="X401" s="248"/>
      <c r="Y401" s="248"/>
      <c r="Z401" s="248"/>
      <c r="AA401" s="248"/>
      <c r="AB401" s="248"/>
    </row>
    <row r="402" spans="2:28" ht="15.75">
      <c r="B402" s="248"/>
      <c r="C402" s="248"/>
      <c r="D402" s="248"/>
      <c r="E402" s="248"/>
      <c r="F402" s="248"/>
      <c r="G402" s="248"/>
      <c r="H402" s="248"/>
      <c r="I402" s="248"/>
      <c r="J402" s="248"/>
      <c r="K402" s="248"/>
      <c r="L402" s="248"/>
      <c r="M402" s="248"/>
      <c r="N402" s="248"/>
      <c r="O402" s="248"/>
      <c r="P402" s="248"/>
      <c r="Q402" s="248"/>
      <c r="R402" s="248"/>
      <c r="S402" s="248"/>
      <c r="T402" s="248"/>
      <c r="U402" s="248"/>
      <c r="V402" s="248"/>
      <c r="W402" s="248"/>
      <c r="X402" s="248"/>
      <c r="Y402" s="248"/>
      <c r="Z402" s="248"/>
      <c r="AA402" s="248"/>
      <c r="AB402" s="248"/>
    </row>
    <row r="403" spans="2:28" ht="15.75">
      <c r="B403" s="248"/>
      <c r="C403" s="248"/>
      <c r="D403" s="248"/>
      <c r="E403" s="248"/>
      <c r="F403" s="248"/>
      <c r="G403" s="248"/>
      <c r="H403" s="248"/>
      <c r="I403" s="248"/>
      <c r="J403" s="248"/>
      <c r="K403" s="248"/>
      <c r="L403" s="248"/>
      <c r="M403" s="248"/>
      <c r="N403" s="248"/>
      <c r="O403" s="248"/>
      <c r="P403" s="248"/>
      <c r="Q403" s="248"/>
      <c r="R403" s="248"/>
      <c r="S403" s="248"/>
      <c r="T403" s="248"/>
      <c r="U403" s="248"/>
      <c r="V403" s="248"/>
      <c r="W403" s="248"/>
      <c r="X403" s="248"/>
      <c r="Y403" s="248"/>
      <c r="Z403" s="248"/>
      <c r="AA403" s="248"/>
      <c r="AB403" s="248"/>
    </row>
    <row r="404" spans="2:28" ht="15.75">
      <c r="B404" s="248"/>
      <c r="C404" s="248"/>
      <c r="D404" s="248"/>
      <c r="E404" s="248"/>
      <c r="F404" s="248"/>
      <c r="G404" s="248"/>
      <c r="H404" s="248"/>
      <c r="I404" s="248"/>
      <c r="J404" s="248"/>
      <c r="K404" s="248"/>
      <c r="L404" s="248"/>
      <c r="M404" s="248"/>
      <c r="N404" s="248"/>
      <c r="O404" s="248"/>
      <c r="P404" s="248"/>
      <c r="Q404" s="248"/>
      <c r="R404" s="248"/>
      <c r="S404" s="248"/>
      <c r="T404" s="248"/>
      <c r="U404" s="248"/>
      <c r="V404" s="248"/>
      <c r="W404" s="248"/>
      <c r="X404" s="248"/>
      <c r="Y404" s="248"/>
      <c r="Z404" s="248"/>
      <c r="AA404" s="248"/>
      <c r="AB404" s="248"/>
    </row>
    <row r="405" spans="2:28" ht="15.75">
      <c r="B405" s="248"/>
      <c r="C405" s="248"/>
      <c r="D405" s="248"/>
      <c r="E405" s="248"/>
      <c r="F405" s="248"/>
      <c r="G405" s="248"/>
      <c r="H405" s="248"/>
      <c r="I405" s="248"/>
      <c r="J405" s="248"/>
      <c r="K405" s="248"/>
      <c r="L405" s="248"/>
      <c r="M405" s="248"/>
      <c r="N405" s="248"/>
      <c r="O405" s="248"/>
      <c r="P405" s="248"/>
      <c r="Q405" s="248"/>
      <c r="R405" s="248"/>
      <c r="S405" s="248"/>
      <c r="T405" s="248"/>
      <c r="U405" s="248"/>
      <c r="V405" s="248"/>
      <c r="W405" s="248"/>
      <c r="X405" s="248"/>
      <c r="Y405" s="248"/>
      <c r="Z405" s="248"/>
      <c r="AA405" s="248"/>
      <c r="AB405" s="248"/>
    </row>
    <row r="406" spans="2:28" ht="15.75">
      <c r="B406" s="248"/>
      <c r="C406" s="248"/>
      <c r="D406" s="248"/>
      <c r="E406" s="248"/>
      <c r="F406" s="248"/>
      <c r="G406" s="248"/>
      <c r="H406" s="248"/>
      <c r="I406" s="248"/>
      <c r="J406" s="248"/>
      <c r="K406" s="248"/>
      <c r="L406" s="248"/>
      <c r="M406" s="248"/>
      <c r="N406" s="248"/>
      <c r="O406" s="248"/>
      <c r="P406" s="248"/>
      <c r="Q406" s="248"/>
      <c r="R406" s="248"/>
      <c r="S406" s="248"/>
      <c r="T406" s="248"/>
      <c r="U406" s="248"/>
      <c r="V406" s="248"/>
      <c r="W406" s="248"/>
      <c r="X406" s="248"/>
      <c r="Y406" s="248"/>
      <c r="Z406" s="248"/>
      <c r="AA406" s="248"/>
      <c r="AB406" s="248"/>
    </row>
    <row r="407" spans="2:28" ht="15.75">
      <c r="B407" s="248"/>
      <c r="C407" s="248"/>
      <c r="D407" s="248"/>
      <c r="E407" s="248"/>
      <c r="F407" s="248"/>
      <c r="G407" s="248"/>
      <c r="H407" s="248"/>
      <c r="I407" s="248"/>
      <c r="J407" s="248"/>
      <c r="K407" s="248"/>
      <c r="L407" s="248"/>
      <c r="M407" s="248"/>
      <c r="N407" s="248"/>
      <c r="O407" s="248"/>
      <c r="P407" s="248"/>
      <c r="Q407" s="248"/>
      <c r="R407" s="248"/>
      <c r="S407" s="248"/>
      <c r="T407" s="248"/>
      <c r="U407" s="248"/>
      <c r="V407" s="248"/>
      <c r="W407" s="248"/>
      <c r="X407" s="248"/>
      <c r="Y407" s="248"/>
      <c r="Z407" s="248"/>
      <c r="AA407" s="248"/>
      <c r="AB407" s="248"/>
    </row>
    <row r="408" spans="2:28" ht="15.75">
      <c r="B408" s="248"/>
      <c r="C408" s="248"/>
      <c r="D408" s="248"/>
      <c r="E408" s="248"/>
      <c r="F408" s="248"/>
      <c r="G408" s="248"/>
      <c r="H408" s="248"/>
      <c r="I408" s="248"/>
      <c r="J408" s="248"/>
      <c r="K408" s="248"/>
      <c r="L408" s="248"/>
      <c r="M408" s="248"/>
      <c r="N408" s="248"/>
      <c r="O408" s="248"/>
      <c r="P408" s="248"/>
      <c r="Q408" s="248"/>
      <c r="R408" s="248"/>
      <c r="S408" s="248"/>
      <c r="T408" s="248"/>
      <c r="U408" s="248"/>
      <c r="V408" s="248"/>
      <c r="W408" s="248"/>
      <c r="X408" s="248"/>
      <c r="Y408" s="248"/>
      <c r="Z408" s="248"/>
      <c r="AA408" s="248"/>
      <c r="AB408" s="248"/>
    </row>
    <row r="409" spans="2:28" ht="15.75">
      <c r="B409" s="248"/>
      <c r="C409" s="248"/>
      <c r="D409" s="248"/>
      <c r="E409" s="248"/>
      <c r="F409" s="248"/>
      <c r="G409" s="248"/>
      <c r="H409" s="248"/>
      <c r="I409" s="248"/>
      <c r="J409" s="248"/>
      <c r="K409" s="248"/>
      <c r="L409" s="248"/>
      <c r="M409" s="248"/>
      <c r="N409" s="248"/>
      <c r="O409" s="248"/>
      <c r="P409" s="248"/>
      <c r="Q409" s="248"/>
      <c r="R409" s="248"/>
      <c r="S409" s="248"/>
      <c r="T409" s="248"/>
      <c r="U409" s="248"/>
      <c r="V409" s="248"/>
      <c r="W409" s="248"/>
      <c r="X409" s="248"/>
      <c r="Y409" s="248"/>
      <c r="Z409" s="248"/>
      <c r="AA409" s="248"/>
      <c r="AB409" s="248"/>
    </row>
    <row r="410" spans="2:28" ht="15.75">
      <c r="B410" s="248"/>
      <c r="C410" s="248"/>
      <c r="D410" s="248"/>
      <c r="E410" s="248"/>
      <c r="F410" s="248"/>
      <c r="G410" s="248"/>
      <c r="H410" s="248"/>
      <c r="I410" s="248"/>
      <c r="J410" s="248"/>
      <c r="K410" s="248"/>
      <c r="L410" s="248"/>
      <c r="M410" s="248"/>
      <c r="N410" s="248"/>
      <c r="O410" s="248"/>
      <c r="P410" s="248"/>
      <c r="Q410" s="248"/>
      <c r="R410" s="248"/>
      <c r="S410" s="248"/>
      <c r="T410" s="248"/>
      <c r="U410" s="248"/>
      <c r="V410" s="248"/>
      <c r="W410" s="248"/>
      <c r="X410" s="248"/>
      <c r="Y410" s="248"/>
      <c r="Z410" s="248"/>
      <c r="AA410" s="248"/>
      <c r="AB410" s="248"/>
    </row>
    <row r="411" spans="2:28" ht="15.75">
      <c r="B411" s="248"/>
      <c r="C411" s="248"/>
      <c r="D411" s="248"/>
      <c r="E411" s="248"/>
      <c r="F411" s="248"/>
      <c r="G411" s="248"/>
      <c r="H411" s="248"/>
      <c r="I411" s="248"/>
      <c r="J411" s="248"/>
      <c r="K411" s="248"/>
      <c r="L411" s="248"/>
      <c r="M411" s="248"/>
      <c r="N411" s="248"/>
      <c r="O411" s="248"/>
      <c r="P411" s="248"/>
      <c r="Q411" s="248"/>
      <c r="R411" s="248"/>
      <c r="S411" s="248"/>
      <c r="T411" s="248"/>
      <c r="U411" s="248"/>
      <c r="V411" s="248"/>
      <c r="W411" s="248"/>
      <c r="X411" s="248"/>
      <c r="Y411" s="248"/>
      <c r="Z411" s="248"/>
      <c r="AA411" s="248"/>
      <c r="AB411" s="248"/>
    </row>
    <row r="412" spans="2:28" ht="15.75">
      <c r="B412" s="248"/>
      <c r="C412" s="248"/>
      <c r="D412" s="248"/>
      <c r="E412" s="248"/>
      <c r="F412" s="248"/>
      <c r="G412" s="248"/>
      <c r="H412" s="248"/>
      <c r="I412" s="248"/>
      <c r="J412" s="248"/>
      <c r="K412" s="248"/>
      <c r="L412" s="248"/>
      <c r="M412" s="248"/>
      <c r="N412" s="248"/>
      <c r="O412" s="248"/>
      <c r="P412" s="248"/>
      <c r="Q412" s="248"/>
      <c r="R412" s="248"/>
      <c r="S412" s="248"/>
      <c r="T412" s="248"/>
      <c r="U412" s="248"/>
      <c r="V412" s="248"/>
      <c r="W412" s="248"/>
      <c r="X412" s="248"/>
      <c r="Y412" s="248"/>
      <c r="Z412" s="248"/>
      <c r="AA412" s="248"/>
      <c r="AB412" s="248"/>
    </row>
    <row r="413" spans="2:28" ht="15.75">
      <c r="B413" s="248"/>
      <c r="C413" s="248"/>
      <c r="D413" s="248"/>
      <c r="E413" s="248"/>
      <c r="F413" s="248"/>
      <c r="G413" s="248"/>
      <c r="H413" s="248"/>
      <c r="I413" s="248"/>
      <c r="J413" s="248"/>
      <c r="K413" s="248"/>
      <c r="L413" s="248"/>
      <c r="M413" s="248"/>
      <c r="N413" s="248"/>
      <c r="O413" s="248"/>
      <c r="P413" s="248"/>
      <c r="Q413" s="248"/>
      <c r="R413" s="248"/>
      <c r="S413" s="248"/>
      <c r="T413" s="248"/>
      <c r="U413" s="248"/>
      <c r="V413" s="248"/>
      <c r="W413" s="248"/>
      <c r="X413" s="248"/>
      <c r="Y413" s="248"/>
      <c r="Z413" s="248"/>
      <c r="AA413" s="248"/>
      <c r="AB413" s="248"/>
    </row>
    <row r="414" spans="2:28" ht="15.75">
      <c r="B414" s="248"/>
      <c r="C414" s="248"/>
      <c r="D414" s="248"/>
      <c r="E414" s="248"/>
      <c r="F414" s="248"/>
      <c r="G414" s="248"/>
      <c r="H414" s="248"/>
      <c r="I414" s="248"/>
      <c r="J414" s="248"/>
      <c r="K414" s="248"/>
      <c r="L414" s="248"/>
      <c r="M414" s="248"/>
      <c r="N414" s="248"/>
      <c r="O414" s="248"/>
      <c r="P414" s="248"/>
      <c r="Q414" s="248"/>
      <c r="R414" s="248"/>
      <c r="S414" s="248"/>
      <c r="T414" s="248"/>
      <c r="U414" s="248"/>
      <c r="V414" s="248"/>
      <c r="W414" s="248"/>
      <c r="X414" s="248"/>
      <c r="Y414" s="248"/>
      <c r="Z414" s="248"/>
      <c r="AA414" s="248"/>
      <c r="AB414" s="248"/>
    </row>
    <row r="415" spans="2:28" ht="15.75">
      <c r="B415" s="248"/>
      <c r="C415" s="248"/>
      <c r="D415" s="248"/>
      <c r="E415" s="248"/>
      <c r="F415" s="248"/>
      <c r="G415" s="248"/>
      <c r="H415" s="248"/>
      <c r="I415" s="248"/>
      <c r="J415" s="248"/>
      <c r="K415" s="248"/>
      <c r="L415" s="248"/>
      <c r="M415" s="248"/>
      <c r="N415" s="248"/>
      <c r="O415" s="248"/>
      <c r="P415" s="248"/>
      <c r="Q415" s="248"/>
      <c r="R415" s="248"/>
      <c r="S415" s="248"/>
      <c r="T415" s="248"/>
      <c r="U415" s="248"/>
      <c r="V415" s="248"/>
      <c r="W415" s="248"/>
      <c r="X415" s="248"/>
      <c r="Y415" s="248"/>
      <c r="Z415" s="248"/>
      <c r="AA415" s="248"/>
      <c r="AB415" s="248"/>
    </row>
    <row r="416" spans="2:28" ht="15.75">
      <c r="B416" s="248"/>
      <c r="C416" s="248"/>
      <c r="D416" s="248"/>
      <c r="E416" s="248"/>
      <c r="F416" s="248"/>
      <c r="G416" s="248"/>
      <c r="H416" s="248"/>
      <c r="I416" s="248"/>
      <c r="J416" s="248"/>
      <c r="K416" s="248"/>
      <c r="L416" s="248"/>
      <c r="M416" s="248"/>
      <c r="N416" s="248"/>
      <c r="O416" s="248"/>
      <c r="P416" s="248"/>
      <c r="Q416" s="248"/>
      <c r="R416" s="248"/>
      <c r="S416" s="248"/>
      <c r="T416" s="248"/>
      <c r="U416" s="248"/>
      <c r="V416" s="248"/>
      <c r="W416" s="248"/>
      <c r="X416" s="248"/>
      <c r="Y416" s="248"/>
      <c r="Z416" s="248"/>
      <c r="AA416" s="248"/>
      <c r="AB416" s="248"/>
    </row>
    <row r="417" spans="2:28" ht="15.75">
      <c r="B417" s="248"/>
      <c r="C417" s="248"/>
      <c r="D417" s="248"/>
      <c r="E417" s="248"/>
      <c r="F417" s="248"/>
      <c r="G417" s="248"/>
      <c r="H417" s="248"/>
      <c r="I417" s="248"/>
      <c r="J417" s="248"/>
      <c r="K417" s="248"/>
      <c r="L417" s="248"/>
      <c r="M417" s="248"/>
      <c r="N417" s="248"/>
      <c r="O417" s="248"/>
      <c r="P417" s="248"/>
      <c r="Q417" s="248"/>
      <c r="R417" s="248"/>
      <c r="S417" s="248"/>
      <c r="T417" s="248"/>
      <c r="U417" s="248"/>
      <c r="V417" s="248"/>
      <c r="W417" s="248"/>
      <c r="X417" s="248"/>
      <c r="Y417" s="248"/>
      <c r="Z417" s="248"/>
      <c r="AA417" s="248"/>
      <c r="AB417" s="248"/>
    </row>
    <row r="418" spans="2:28" ht="15.75">
      <c r="B418" s="248"/>
      <c r="C418" s="248"/>
      <c r="D418" s="248"/>
      <c r="E418" s="248"/>
      <c r="F418" s="248"/>
      <c r="G418" s="248"/>
      <c r="H418" s="248"/>
      <c r="I418" s="248"/>
      <c r="J418" s="248"/>
      <c r="K418" s="248"/>
      <c r="L418" s="248"/>
      <c r="M418" s="248"/>
      <c r="N418" s="248"/>
      <c r="O418" s="248"/>
      <c r="P418" s="248"/>
      <c r="Q418" s="248"/>
      <c r="R418" s="248"/>
      <c r="S418" s="248"/>
      <c r="T418" s="248"/>
      <c r="U418" s="248"/>
      <c r="V418" s="248"/>
      <c r="W418" s="248"/>
      <c r="X418" s="248"/>
      <c r="Y418" s="248"/>
      <c r="Z418" s="248"/>
      <c r="AA418" s="248"/>
      <c r="AB418" s="248"/>
    </row>
    <row r="419" spans="2:28" ht="15.75">
      <c r="B419" s="248"/>
      <c r="C419" s="248"/>
      <c r="D419" s="248"/>
      <c r="E419" s="248"/>
      <c r="F419" s="248"/>
      <c r="G419" s="248"/>
      <c r="H419" s="248"/>
      <c r="I419" s="248"/>
      <c r="J419" s="248"/>
      <c r="K419" s="248"/>
      <c r="L419" s="248"/>
      <c r="M419" s="248"/>
      <c r="N419" s="248"/>
      <c r="O419" s="248"/>
      <c r="P419" s="248"/>
      <c r="Q419" s="248"/>
      <c r="R419" s="248"/>
      <c r="S419" s="248"/>
      <c r="T419" s="248"/>
      <c r="U419" s="248"/>
      <c r="V419" s="248"/>
      <c r="W419" s="248"/>
      <c r="X419" s="248"/>
      <c r="Y419" s="248"/>
      <c r="Z419" s="248"/>
      <c r="AA419" s="248"/>
      <c r="AB419" s="248"/>
    </row>
    <row r="420" spans="2:28" ht="15.75">
      <c r="B420" s="248"/>
      <c r="C420" s="248"/>
      <c r="D420" s="248"/>
      <c r="E420" s="248"/>
      <c r="F420" s="248"/>
      <c r="G420" s="248"/>
      <c r="H420" s="248"/>
      <c r="I420" s="248"/>
      <c r="J420" s="248"/>
      <c r="K420" s="248"/>
      <c r="L420" s="248"/>
      <c r="M420" s="248"/>
      <c r="N420" s="248"/>
      <c r="O420" s="248"/>
      <c r="P420" s="248"/>
      <c r="Q420" s="248"/>
      <c r="R420" s="248"/>
      <c r="S420" s="248"/>
      <c r="T420" s="248"/>
      <c r="U420" s="248"/>
      <c r="V420" s="248"/>
      <c r="W420" s="248"/>
      <c r="X420" s="248"/>
      <c r="Y420" s="248"/>
      <c r="Z420" s="248"/>
      <c r="AA420" s="248"/>
      <c r="AB420" s="248"/>
    </row>
    <row r="421" spans="2:28" ht="15.75">
      <c r="B421" s="248"/>
      <c r="C421" s="248"/>
      <c r="D421" s="248"/>
      <c r="E421" s="248"/>
      <c r="F421" s="248"/>
      <c r="G421" s="248"/>
      <c r="H421" s="248"/>
      <c r="I421" s="248"/>
      <c r="J421" s="248"/>
      <c r="K421" s="248"/>
      <c r="L421" s="248"/>
      <c r="M421" s="248"/>
      <c r="N421" s="248"/>
      <c r="O421" s="248"/>
      <c r="P421" s="248"/>
      <c r="Q421" s="248"/>
      <c r="R421" s="248"/>
      <c r="S421" s="248"/>
      <c r="T421" s="248"/>
      <c r="U421" s="248"/>
      <c r="V421" s="248"/>
      <c r="W421" s="248"/>
      <c r="X421" s="248"/>
      <c r="Y421" s="248"/>
      <c r="Z421" s="248"/>
      <c r="AA421" s="248"/>
      <c r="AB421" s="248"/>
    </row>
    <row r="422" spans="2:28" ht="15.75">
      <c r="B422" s="248"/>
      <c r="C422" s="248"/>
      <c r="D422" s="248"/>
      <c r="E422" s="248"/>
      <c r="F422" s="248"/>
      <c r="G422" s="248"/>
      <c r="H422" s="248"/>
      <c r="I422" s="248"/>
      <c r="J422" s="248"/>
      <c r="K422" s="248"/>
      <c r="L422" s="248"/>
      <c r="M422" s="248"/>
      <c r="N422" s="248"/>
      <c r="O422" s="248"/>
      <c r="P422" s="248"/>
      <c r="Q422" s="248"/>
      <c r="R422" s="248"/>
      <c r="S422" s="248"/>
      <c r="T422" s="248"/>
      <c r="U422" s="248"/>
      <c r="V422" s="248"/>
      <c r="W422" s="248"/>
      <c r="X422" s="248"/>
      <c r="Y422" s="248"/>
      <c r="Z422" s="248"/>
      <c r="AA422" s="248"/>
      <c r="AB422" s="248"/>
    </row>
    <row r="423" spans="2:28" ht="15.75">
      <c r="B423" s="248"/>
      <c r="C423" s="248"/>
      <c r="D423" s="248"/>
      <c r="E423" s="248"/>
      <c r="F423" s="248"/>
      <c r="G423" s="248"/>
      <c r="H423" s="248"/>
      <c r="I423" s="248"/>
      <c r="J423" s="248"/>
      <c r="K423" s="248"/>
      <c r="L423" s="248"/>
      <c r="M423" s="248"/>
      <c r="N423" s="248"/>
      <c r="O423" s="248"/>
      <c r="P423" s="248"/>
      <c r="Q423" s="248"/>
      <c r="R423" s="248"/>
      <c r="S423" s="248"/>
      <c r="T423" s="248"/>
      <c r="U423" s="248"/>
      <c r="V423" s="248"/>
      <c r="W423" s="248"/>
      <c r="X423" s="248"/>
      <c r="Y423" s="248"/>
      <c r="Z423" s="248"/>
      <c r="AA423" s="248"/>
      <c r="AB423" s="248"/>
    </row>
    <row r="424" spans="2:28" ht="15.75">
      <c r="B424" s="248"/>
      <c r="C424" s="248"/>
      <c r="D424" s="248"/>
      <c r="E424" s="248"/>
      <c r="F424" s="248"/>
      <c r="G424" s="248"/>
      <c r="H424" s="248"/>
      <c r="I424" s="248"/>
      <c r="J424" s="248"/>
      <c r="K424" s="248"/>
      <c r="L424" s="248"/>
      <c r="M424" s="248"/>
      <c r="N424" s="248"/>
      <c r="O424" s="248"/>
      <c r="P424" s="248"/>
      <c r="Q424" s="248"/>
      <c r="R424" s="248"/>
      <c r="S424" s="248"/>
      <c r="T424" s="248"/>
      <c r="U424" s="248"/>
      <c r="V424" s="248"/>
      <c r="W424" s="248"/>
      <c r="X424" s="248"/>
      <c r="Y424" s="248"/>
      <c r="Z424" s="248"/>
      <c r="AA424" s="248"/>
      <c r="AB424" s="248"/>
    </row>
    <row r="425" spans="2:28" ht="15.75">
      <c r="B425" s="248"/>
      <c r="C425" s="248"/>
      <c r="D425" s="248"/>
      <c r="E425" s="248"/>
      <c r="F425" s="248"/>
      <c r="G425" s="248"/>
      <c r="H425" s="248"/>
      <c r="I425" s="248"/>
      <c r="J425" s="248"/>
      <c r="K425" s="248"/>
      <c r="L425" s="248"/>
      <c r="M425" s="248"/>
      <c r="N425" s="248"/>
      <c r="O425" s="248"/>
      <c r="P425" s="248"/>
      <c r="Q425" s="248"/>
      <c r="R425" s="248"/>
      <c r="S425" s="248"/>
      <c r="T425" s="248"/>
      <c r="U425" s="248"/>
      <c r="V425" s="248"/>
      <c r="W425" s="248"/>
      <c r="X425" s="248"/>
      <c r="Y425" s="248"/>
      <c r="Z425" s="248"/>
      <c r="AA425" s="248"/>
      <c r="AB425" s="248"/>
    </row>
    <row r="426" spans="2:28" ht="15.75">
      <c r="B426" s="248"/>
      <c r="C426" s="248"/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8"/>
      <c r="P426" s="248"/>
      <c r="Q426" s="248"/>
      <c r="R426" s="248"/>
      <c r="S426" s="248"/>
      <c r="T426" s="248"/>
      <c r="U426" s="248"/>
      <c r="V426" s="248"/>
      <c r="W426" s="248"/>
      <c r="X426" s="248"/>
      <c r="Y426" s="248"/>
      <c r="Z426" s="248"/>
      <c r="AA426" s="248"/>
      <c r="AB426" s="248"/>
    </row>
    <row r="427" spans="2:28" ht="15.75">
      <c r="B427" s="248"/>
      <c r="C427" s="248"/>
      <c r="D427" s="248"/>
      <c r="E427" s="248"/>
      <c r="F427" s="248"/>
      <c r="G427" s="248"/>
      <c r="H427" s="248"/>
      <c r="I427" s="248"/>
      <c r="J427" s="248"/>
      <c r="K427" s="248"/>
      <c r="L427" s="248"/>
      <c r="M427" s="248"/>
      <c r="N427" s="248"/>
      <c r="O427" s="248"/>
      <c r="P427" s="248"/>
      <c r="Q427" s="248"/>
      <c r="R427" s="248"/>
      <c r="S427" s="248"/>
      <c r="T427" s="248"/>
      <c r="U427" s="248"/>
      <c r="V427" s="248"/>
      <c r="W427" s="248"/>
      <c r="X427" s="248"/>
      <c r="Y427" s="248"/>
      <c r="Z427" s="248"/>
      <c r="AA427" s="248"/>
      <c r="AB427" s="248"/>
    </row>
    <row r="428" spans="2:28" ht="15.75">
      <c r="B428" s="248"/>
      <c r="C428" s="248"/>
      <c r="D428" s="248"/>
      <c r="E428" s="248"/>
      <c r="F428" s="248"/>
      <c r="G428" s="248"/>
      <c r="H428" s="248"/>
      <c r="I428" s="248"/>
      <c r="J428" s="248"/>
      <c r="K428" s="248"/>
      <c r="L428" s="248"/>
      <c r="M428" s="248"/>
      <c r="N428" s="248"/>
      <c r="O428" s="248"/>
      <c r="P428" s="248"/>
      <c r="Q428" s="248"/>
      <c r="R428" s="248"/>
      <c r="S428" s="248"/>
      <c r="T428" s="248"/>
      <c r="U428" s="248"/>
      <c r="V428" s="248"/>
      <c r="W428" s="248"/>
      <c r="X428" s="248"/>
      <c r="Y428" s="248"/>
      <c r="Z428" s="248"/>
      <c r="AA428" s="248"/>
      <c r="AB428" s="248"/>
    </row>
    <row r="429" spans="2:28" ht="15.75">
      <c r="B429" s="248"/>
      <c r="C429" s="248"/>
      <c r="D429" s="248"/>
      <c r="E429" s="248"/>
      <c r="F429" s="248"/>
      <c r="G429" s="248"/>
      <c r="H429" s="248"/>
      <c r="I429" s="248"/>
      <c r="J429" s="248"/>
      <c r="K429" s="248"/>
      <c r="L429" s="248"/>
      <c r="M429" s="248"/>
      <c r="N429" s="248"/>
      <c r="O429" s="248"/>
      <c r="P429" s="248"/>
      <c r="Q429" s="248"/>
      <c r="R429" s="248"/>
      <c r="S429" s="248"/>
      <c r="T429" s="248"/>
      <c r="U429" s="248"/>
      <c r="V429" s="248"/>
      <c r="W429" s="248"/>
      <c r="X429" s="248"/>
      <c r="Y429" s="248"/>
      <c r="Z429" s="248"/>
      <c r="AA429" s="248"/>
      <c r="AB429" s="248"/>
    </row>
    <row r="430" spans="2:28" ht="15.75">
      <c r="B430" s="248"/>
      <c r="C430" s="248"/>
      <c r="D430" s="248"/>
      <c r="E430" s="248"/>
      <c r="F430" s="248"/>
      <c r="G430" s="248"/>
      <c r="H430" s="248"/>
      <c r="I430" s="248"/>
      <c r="J430" s="248"/>
      <c r="K430" s="248"/>
      <c r="L430" s="248"/>
      <c r="M430" s="248"/>
      <c r="N430" s="248"/>
      <c r="O430" s="248"/>
      <c r="P430" s="248"/>
      <c r="Q430" s="248"/>
      <c r="R430" s="248"/>
      <c r="S430" s="248"/>
      <c r="T430" s="248"/>
      <c r="U430" s="248"/>
      <c r="V430" s="248"/>
      <c r="W430" s="248"/>
      <c r="X430" s="248"/>
      <c r="Y430" s="248"/>
      <c r="Z430" s="248"/>
      <c r="AA430" s="248"/>
      <c r="AB430" s="248"/>
    </row>
    <row r="431" spans="2:28" ht="15.75">
      <c r="B431" s="248"/>
      <c r="C431" s="248"/>
      <c r="D431" s="248"/>
      <c r="E431" s="248"/>
      <c r="F431" s="248"/>
      <c r="G431" s="248"/>
      <c r="H431" s="248"/>
      <c r="I431" s="248"/>
      <c r="J431" s="248"/>
      <c r="K431" s="248"/>
      <c r="L431" s="248"/>
      <c r="M431" s="248"/>
      <c r="N431" s="248"/>
      <c r="O431" s="248"/>
      <c r="P431" s="248"/>
      <c r="Q431" s="248"/>
      <c r="R431" s="248"/>
      <c r="S431" s="248"/>
      <c r="T431" s="248"/>
      <c r="U431" s="248"/>
      <c r="V431" s="248"/>
      <c r="W431" s="248"/>
      <c r="X431" s="248"/>
      <c r="Y431" s="248"/>
      <c r="Z431" s="248"/>
      <c r="AA431" s="248"/>
      <c r="AB431" s="248"/>
    </row>
    <row r="432" spans="2:28" ht="15.75">
      <c r="B432" s="248"/>
      <c r="C432" s="248"/>
      <c r="D432" s="248"/>
      <c r="E432" s="248"/>
      <c r="F432" s="248"/>
      <c r="G432" s="248"/>
      <c r="H432" s="248"/>
      <c r="I432" s="248"/>
      <c r="J432" s="248"/>
      <c r="K432" s="248"/>
      <c r="L432" s="248"/>
      <c r="M432" s="248"/>
      <c r="N432" s="248"/>
      <c r="O432" s="248"/>
      <c r="P432" s="248"/>
      <c r="Q432" s="248"/>
      <c r="R432" s="248"/>
      <c r="S432" s="248"/>
      <c r="T432" s="248"/>
      <c r="U432" s="248"/>
      <c r="V432" s="248"/>
      <c r="W432" s="248"/>
      <c r="X432" s="248"/>
      <c r="Y432" s="248"/>
      <c r="Z432" s="248"/>
      <c r="AA432" s="248"/>
      <c r="AB432" s="248"/>
    </row>
    <row r="433" spans="2:28" ht="15.75">
      <c r="B433" s="248"/>
      <c r="C433" s="248"/>
      <c r="D433" s="248"/>
      <c r="E433" s="248"/>
      <c r="F433" s="248"/>
      <c r="G433" s="248"/>
      <c r="H433" s="248"/>
      <c r="I433" s="248"/>
      <c r="J433" s="248"/>
      <c r="K433" s="248"/>
      <c r="L433" s="248"/>
      <c r="M433" s="248"/>
      <c r="N433" s="248"/>
      <c r="O433" s="248"/>
      <c r="P433" s="248"/>
      <c r="Q433" s="248"/>
      <c r="R433" s="248"/>
      <c r="S433" s="248"/>
      <c r="T433" s="248"/>
      <c r="U433" s="248"/>
      <c r="V433" s="248"/>
      <c r="W433" s="248"/>
      <c r="X433" s="248"/>
      <c r="Y433" s="248"/>
      <c r="Z433" s="248"/>
      <c r="AA433" s="248"/>
      <c r="AB433" s="248"/>
    </row>
    <row r="434" spans="2:28" ht="15.75">
      <c r="B434" s="248"/>
      <c r="C434" s="248"/>
      <c r="D434" s="248"/>
      <c r="E434" s="248"/>
      <c r="F434" s="248"/>
      <c r="G434" s="248"/>
      <c r="H434" s="248"/>
      <c r="I434" s="248"/>
      <c r="J434" s="248"/>
      <c r="K434" s="248"/>
      <c r="L434" s="248"/>
      <c r="M434" s="248"/>
      <c r="N434" s="248"/>
      <c r="O434" s="248"/>
      <c r="P434" s="248"/>
      <c r="Q434" s="248"/>
      <c r="R434" s="248"/>
      <c r="S434" s="248"/>
      <c r="T434" s="248"/>
      <c r="U434" s="248"/>
      <c r="V434" s="248"/>
      <c r="W434" s="248"/>
      <c r="X434" s="248"/>
      <c r="Y434" s="248"/>
      <c r="Z434" s="248"/>
      <c r="AA434" s="248"/>
      <c r="AB434" s="248"/>
    </row>
    <row r="435" spans="2:28" ht="15.75">
      <c r="B435" s="248"/>
      <c r="C435" s="248"/>
      <c r="D435" s="248"/>
      <c r="E435" s="248"/>
      <c r="F435" s="248"/>
      <c r="G435" s="248"/>
      <c r="H435" s="248"/>
      <c r="I435" s="248"/>
      <c r="J435" s="248"/>
      <c r="K435" s="248"/>
      <c r="L435" s="248"/>
      <c r="M435" s="248"/>
      <c r="N435" s="248"/>
      <c r="O435" s="248"/>
      <c r="P435" s="248"/>
      <c r="Q435" s="248"/>
      <c r="R435" s="248"/>
      <c r="S435" s="248"/>
      <c r="T435" s="248"/>
      <c r="U435" s="248"/>
      <c r="V435" s="248"/>
      <c r="W435" s="248"/>
      <c r="X435" s="248"/>
      <c r="Y435" s="248"/>
      <c r="Z435" s="248"/>
      <c r="AA435" s="248"/>
      <c r="AB435" s="248"/>
    </row>
    <row r="436" spans="2:28" ht="15.75">
      <c r="B436" s="248"/>
      <c r="C436" s="248"/>
      <c r="D436" s="248"/>
      <c r="E436" s="248"/>
      <c r="F436" s="248"/>
      <c r="G436" s="248"/>
      <c r="H436" s="248"/>
      <c r="I436" s="248"/>
      <c r="J436" s="248"/>
      <c r="K436" s="248"/>
      <c r="L436" s="248"/>
      <c r="M436" s="248"/>
      <c r="N436" s="248"/>
      <c r="O436" s="248"/>
      <c r="P436" s="248"/>
      <c r="Q436" s="248"/>
      <c r="R436" s="248"/>
      <c r="S436" s="248"/>
      <c r="T436" s="248"/>
      <c r="U436" s="248"/>
      <c r="V436" s="248"/>
      <c r="W436" s="248"/>
      <c r="X436" s="248"/>
      <c r="Y436" s="248"/>
      <c r="Z436" s="248"/>
      <c r="AA436" s="248"/>
      <c r="AB436" s="248"/>
    </row>
    <row r="437" spans="2:28" ht="15.75">
      <c r="B437" s="248"/>
      <c r="C437" s="248"/>
      <c r="D437" s="248"/>
      <c r="E437" s="248"/>
      <c r="F437" s="248"/>
      <c r="G437" s="248"/>
      <c r="H437" s="248"/>
      <c r="I437" s="248"/>
      <c r="J437" s="248"/>
      <c r="K437" s="248"/>
      <c r="L437" s="248"/>
      <c r="M437" s="248"/>
      <c r="N437" s="248"/>
      <c r="O437" s="248"/>
      <c r="P437" s="248"/>
      <c r="Q437" s="248"/>
      <c r="R437" s="248"/>
      <c r="S437" s="248"/>
      <c r="T437" s="248"/>
      <c r="U437" s="248"/>
      <c r="V437" s="248"/>
      <c r="W437" s="248"/>
      <c r="X437" s="248"/>
      <c r="Y437" s="248"/>
      <c r="Z437" s="248"/>
      <c r="AA437" s="248"/>
      <c r="AB437" s="248"/>
    </row>
    <row r="438" spans="2:28" ht="15.75">
      <c r="B438" s="248"/>
      <c r="C438" s="248"/>
      <c r="D438" s="248"/>
      <c r="E438" s="248"/>
      <c r="F438" s="248"/>
      <c r="G438" s="248"/>
      <c r="H438" s="248"/>
      <c r="I438" s="248"/>
      <c r="J438" s="248"/>
      <c r="K438" s="248"/>
      <c r="L438" s="248"/>
      <c r="M438" s="248"/>
      <c r="N438" s="248"/>
      <c r="O438" s="248"/>
      <c r="P438" s="248"/>
      <c r="Q438" s="248"/>
      <c r="R438" s="248"/>
      <c r="S438" s="248"/>
      <c r="T438" s="248"/>
      <c r="U438" s="248"/>
      <c r="V438" s="248"/>
      <c r="W438" s="248"/>
      <c r="X438" s="248"/>
      <c r="Y438" s="248"/>
      <c r="Z438" s="248"/>
      <c r="AA438" s="248"/>
      <c r="AB438" s="248"/>
    </row>
    <row r="439" spans="2:28" ht="15.75">
      <c r="B439" s="248"/>
      <c r="C439" s="248"/>
      <c r="D439" s="248"/>
      <c r="E439" s="248"/>
      <c r="F439" s="248"/>
      <c r="G439" s="248"/>
      <c r="H439" s="248"/>
      <c r="I439" s="248"/>
      <c r="J439" s="248"/>
      <c r="K439" s="248"/>
      <c r="L439" s="248"/>
      <c r="M439" s="248"/>
      <c r="N439" s="248"/>
      <c r="O439" s="248"/>
      <c r="P439" s="248"/>
      <c r="Q439" s="248"/>
      <c r="R439" s="248"/>
      <c r="S439" s="248"/>
      <c r="T439" s="248"/>
      <c r="U439" s="248"/>
      <c r="V439" s="248"/>
      <c r="W439" s="248"/>
      <c r="X439" s="248"/>
      <c r="Y439" s="248"/>
      <c r="Z439" s="248"/>
      <c r="AA439" s="248"/>
      <c r="AB439" s="248"/>
    </row>
    <row r="440" spans="2:28" ht="15.75">
      <c r="B440" s="248"/>
      <c r="C440" s="248"/>
      <c r="D440" s="248"/>
      <c r="E440" s="248"/>
      <c r="F440" s="248"/>
      <c r="G440" s="248"/>
      <c r="H440" s="248"/>
      <c r="I440" s="248"/>
      <c r="J440" s="248"/>
      <c r="K440" s="248"/>
      <c r="L440" s="248"/>
      <c r="M440" s="248"/>
      <c r="N440" s="248"/>
      <c r="O440" s="248"/>
      <c r="P440" s="248"/>
      <c r="Q440" s="248"/>
      <c r="R440" s="248"/>
      <c r="S440" s="248"/>
      <c r="T440" s="248"/>
      <c r="U440" s="248"/>
      <c r="V440" s="248"/>
      <c r="W440" s="248"/>
      <c r="X440" s="248"/>
      <c r="Y440" s="248"/>
      <c r="Z440" s="248"/>
      <c r="AA440" s="248"/>
      <c r="AB440" s="248"/>
    </row>
    <row r="441" spans="2:28" ht="15.75">
      <c r="B441" s="248"/>
      <c r="C441" s="248"/>
      <c r="D441" s="248"/>
      <c r="E441" s="248"/>
      <c r="F441" s="248"/>
      <c r="G441" s="248"/>
      <c r="H441" s="248"/>
      <c r="I441" s="248"/>
      <c r="J441" s="248"/>
      <c r="K441" s="248"/>
      <c r="L441" s="248"/>
      <c r="M441" s="248"/>
      <c r="N441" s="248"/>
      <c r="O441" s="248"/>
      <c r="P441" s="248"/>
      <c r="Q441" s="248"/>
      <c r="R441" s="248"/>
      <c r="S441" s="248"/>
      <c r="T441" s="248"/>
      <c r="U441" s="248"/>
      <c r="V441" s="248"/>
      <c r="W441" s="248"/>
      <c r="X441" s="248"/>
      <c r="Y441" s="248"/>
      <c r="Z441" s="248"/>
      <c r="AA441" s="248"/>
      <c r="AB441" s="248"/>
    </row>
    <row r="442" spans="2:28" ht="15.75">
      <c r="B442" s="248"/>
      <c r="C442" s="248"/>
      <c r="D442" s="248"/>
      <c r="E442" s="248"/>
      <c r="F442" s="248"/>
      <c r="G442" s="248"/>
      <c r="H442" s="248"/>
      <c r="I442" s="248"/>
      <c r="J442" s="248"/>
      <c r="K442" s="248"/>
      <c r="L442" s="248"/>
      <c r="M442" s="248"/>
      <c r="N442" s="248"/>
      <c r="O442" s="248"/>
      <c r="P442" s="248"/>
      <c r="Q442" s="248"/>
      <c r="R442" s="248"/>
      <c r="S442" s="248"/>
      <c r="T442" s="248"/>
      <c r="U442" s="248"/>
      <c r="V442" s="248"/>
      <c r="W442" s="248"/>
      <c r="X442" s="248"/>
      <c r="Y442" s="248"/>
      <c r="Z442" s="248"/>
      <c r="AA442" s="248"/>
      <c r="AB442" s="248"/>
    </row>
    <row r="443" spans="2:28" ht="15.75">
      <c r="B443" s="248"/>
      <c r="C443" s="248"/>
      <c r="D443" s="248"/>
      <c r="E443" s="248"/>
      <c r="F443" s="248"/>
      <c r="G443" s="248"/>
      <c r="H443" s="248"/>
      <c r="I443" s="248"/>
      <c r="J443" s="248"/>
      <c r="K443" s="248"/>
      <c r="L443" s="248"/>
      <c r="M443" s="248"/>
      <c r="N443" s="248"/>
      <c r="O443" s="248"/>
      <c r="P443" s="248"/>
      <c r="Q443" s="248"/>
      <c r="R443" s="248"/>
      <c r="S443" s="248"/>
      <c r="T443" s="248"/>
      <c r="U443" s="248"/>
      <c r="V443" s="248"/>
      <c r="W443" s="248"/>
      <c r="X443" s="248"/>
      <c r="Y443" s="248"/>
      <c r="Z443" s="248"/>
      <c r="AA443" s="248"/>
      <c r="AB443" s="248"/>
    </row>
    <row r="444" spans="2:28" ht="15.75">
      <c r="B444" s="248"/>
      <c r="C444" s="248"/>
      <c r="D444" s="248"/>
      <c r="E444" s="248"/>
      <c r="F444" s="248"/>
      <c r="G444" s="248"/>
      <c r="H444" s="248"/>
      <c r="I444" s="248"/>
      <c r="J444" s="248"/>
      <c r="K444" s="248"/>
      <c r="L444" s="248"/>
      <c r="M444" s="248"/>
      <c r="N444" s="248"/>
      <c r="O444" s="248"/>
      <c r="P444" s="248"/>
      <c r="Q444" s="248"/>
      <c r="R444" s="248"/>
      <c r="S444" s="248"/>
      <c r="T444" s="248"/>
      <c r="U444" s="248"/>
      <c r="V444" s="248"/>
      <c r="W444" s="248"/>
      <c r="X444" s="248"/>
      <c r="Y444" s="248"/>
      <c r="Z444" s="248"/>
      <c r="AA444" s="248"/>
      <c r="AB444" s="248"/>
    </row>
    <row r="445" spans="2:28" ht="15.75">
      <c r="B445" s="248"/>
      <c r="C445" s="248"/>
      <c r="D445" s="248"/>
      <c r="E445" s="248"/>
      <c r="F445" s="248"/>
      <c r="G445" s="248"/>
      <c r="H445" s="248"/>
      <c r="I445" s="248"/>
      <c r="J445" s="248"/>
      <c r="K445" s="248"/>
      <c r="L445" s="248"/>
      <c r="M445" s="248"/>
      <c r="N445" s="248"/>
      <c r="O445" s="248"/>
      <c r="P445" s="248"/>
      <c r="Q445" s="248"/>
      <c r="R445" s="248"/>
      <c r="S445" s="248"/>
      <c r="T445" s="248"/>
      <c r="U445" s="248"/>
      <c r="V445" s="248"/>
      <c r="W445" s="248"/>
      <c r="X445" s="248"/>
      <c r="Y445" s="248"/>
      <c r="Z445" s="248"/>
      <c r="AA445" s="248"/>
      <c r="AB445" s="248"/>
    </row>
    <row r="446" spans="2:28" ht="15.75">
      <c r="B446" s="248"/>
      <c r="C446" s="248"/>
      <c r="D446" s="248"/>
      <c r="E446" s="248"/>
      <c r="F446" s="248"/>
      <c r="G446" s="248"/>
      <c r="H446" s="248"/>
      <c r="I446" s="248"/>
      <c r="J446" s="248"/>
      <c r="K446" s="248"/>
      <c r="L446" s="248"/>
      <c r="M446" s="248"/>
      <c r="N446" s="248"/>
      <c r="O446" s="248"/>
      <c r="P446" s="248"/>
      <c r="Q446" s="248"/>
      <c r="R446" s="248"/>
      <c r="S446" s="248"/>
      <c r="T446" s="248"/>
      <c r="U446" s="248"/>
      <c r="V446" s="248"/>
      <c r="W446" s="248"/>
      <c r="X446" s="248"/>
      <c r="Y446" s="248"/>
      <c r="Z446" s="248"/>
      <c r="AA446" s="248"/>
      <c r="AB446" s="248"/>
    </row>
    <row r="447" spans="2:28" ht="15.75">
      <c r="B447" s="248"/>
      <c r="C447" s="248"/>
      <c r="D447" s="248"/>
      <c r="E447" s="248"/>
      <c r="F447" s="248"/>
      <c r="G447" s="248"/>
      <c r="H447" s="248"/>
      <c r="I447" s="248"/>
      <c r="J447" s="248"/>
      <c r="K447" s="248"/>
      <c r="L447" s="248"/>
      <c r="M447" s="248"/>
      <c r="N447" s="248"/>
      <c r="O447" s="248"/>
      <c r="P447" s="248"/>
      <c r="Q447" s="248"/>
      <c r="R447" s="248"/>
      <c r="S447" s="248"/>
      <c r="T447" s="248"/>
      <c r="U447" s="248"/>
      <c r="V447" s="248"/>
      <c r="W447" s="248"/>
      <c r="X447" s="248"/>
      <c r="Y447" s="248"/>
      <c r="Z447" s="248"/>
      <c r="AA447" s="248"/>
      <c r="AB447" s="248"/>
    </row>
    <row r="448" spans="2:28" ht="15.75">
      <c r="B448" s="248"/>
      <c r="C448" s="248"/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8"/>
      <c r="P448" s="248"/>
      <c r="Q448" s="248"/>
      <c r="R448" s="248"/>
      <c r="S448" s="248"/>
      <c r="T448" s="248"/>
      <c r="U448" s="248"/>
      <c r="V448" s="248"/>
      <c r="W448" s="248"/>
      <c r="X448" s="248"/>
      <c r="Y448" s="248"/>
      <c r="Z448" s="248"/>
      <c r="AA448" s="248"/>
      <c r="AB448" s="248"/>
    </row>
    <row r="449" spans="2:28" ht="15.75">
      <c r="B449" s="248"/>
      <c r="C449" s="248"/>
      <c r="D449" s="248"/>
      <c r="E449" s="248"/>
      <c r="F449" s="248"/>
      <c r="G449" s="248"/>
      <c r="H449" s="248"/>
      <c r="I449" s="248"/>
      <c r="J449" s="248"/>
      <c r="K449" s="248"/>
      <c r="L449" s="248"/>
      <c r="M449" s="248"/>
      <c r="N449" s="248"/>
      <c r="O449" s="248"/>
      <c r="P449" s="248"/>
      <c r="Q449" s="248"/>
      <c r="R449" s="248"/>
      <c r="S449" s="248"/>
      <c r="T449" s="248"/>
      <c r="U449" s="248"/>
      <c r="V449" s="248"/>
      <c r="W449" s="248"/>
      <c r="X449" s="248"/>
      <c r="Y449" s="248"/>
      <c r="Z449" s="248"/>
      <c r="AA449" s="248"/>
      <c r="AB449" s="248"/>
    </row>
    <row r="450" spans="2:28" ht="15.75">
      <c r="B450" s="248"/>
      <c r="C450" s="248"/>
      <c r="D450" s="248"/>
      <c r="E450" s="248"/>
      <c r="F450" s="248"/>
      <c r="G450" s="248"/>
      <c r="H450" s="248"/>
      <c r="I450" s="248"/>
      <c r="J450" s="248"/>
      <c r="K450" s="248"/>
      <c r="L450" s="248"/>
      <c r="M450" s="248"/>
      <c r="N450" s="248"/>
      <c r="O450" s="248"/>
      <c r="P450" s="248"/>
      <c r="Q450" s="248"/>
      <c r="R450" s="248"/>
      <c r="S450" s="248"/>
      <c r="T450" s="248"/>
      <c r="U450" s="248"/>
      <c r="V450" s="248"/>
      <c r="W450" s="248"/>
      <c r="X450" s="248"/>
      <c r="Y450" s="248"/>
      <c r="Z450" s="248"/>
      <c r="AA450" s="248"/>
      <c r="AB450" s="248"/>
    </row>
    <row r="451" spans="2:28" ht="15.75">
      <c r="B451" s="248"/>
      <c r="C451" s="248"/>
      <c r="D451" s="248"/>
      <c r="E451" s="248"/>
      <c r="F451" s="248"/>
      <c r="G451" s="248"/>
      <c r="H451" s="248"/>
      <c r="I451" s="248"/>
      <c r="J451" s="248"/>
      <c r="K451" s="248"/>
      <c r="L451" s="248"/>
      <c r="M451" s="248"/>
      <c r="N451" s="248"/>
      <c r="O451" s="248"/>
      <c r="P451" s="248"/>
      <c r="Q451" s="248"/>
      <c r="R451" s="248"/>
      <c r="S451" s="248"/>
      <c r="T451" s="248"/>
      <c r="U451" s="248"/>
      <c r="V451" s="248"/>
      <c r="W451" s="248"/>
      <c r="X451" s="248"/>
      <c r="Y451" s="248"/>
      <c r="Z451" s="248"/>
      <c r="AA451" s="248"/>
      <c r="AB451" s="248"/>
    </row>
    <row r="452" spans="2:28" ht="15.75">
      <c r="B452" s="248"/>
      <c r="C452" s="248"/>
      <c r="D452" s="248"/>
      <c r="E452" s="248"/>
      <c r="F452" s="248"/>
      <c r="G452" s="248"/>
      <c r="H452" s="248"/>
      <c r="I452" s="248"/>
      <c r="J452" s="248"/>
      <c r="K452" s="248"/>
      <c r="L452" s="248"/>
      <c r="M452" s="248"/>
      <c r="N452" s="248"/>
      <c r="O452" s="248"/>
      <c r="P452" s="248"/>
      <c r="Q452" s="248"/>
      <c r="R452" s="248"/>
      <c r="S452" s="248"/>
      <c r="T452" s="248"/>
      <c r="U452" s="248"/>
      <c r="V452" s="248"/>
      <c r="W452" s="248"/>
      <c r="X452" s="248"/>
      <c r="Y452" s="248"/>
      <c r="Z452" s="248"/>
      <c r="AA452" s="248"/>
      <c r="AB452" s="248"/>
    </row>
    <row r="453" spans="2:28" ht="15.75">
      <c r="B453" s="248"/>
      <c r="C453" s="248"/>
      <c r="D453" s="248"/>
      <c r="E453" s="248"/>
      <c r="F453" s="248"/>
      <c r="G453" s="248"/>
      <c r="H453" s="248"/>
      <c r="I453" s="248"/>
      <c r="J453" s="248"/>
      <c r="K453" s="248"/>
      <c r="L453" s="248"/>
      <c r="M453" s="248"/>
      <c r="N453" s="248"/>
      <c r="O453" s="248"/>
      <c r="P453" s="248"/>
      <c r="Q453" s="248"/>
      <c r="R453" s="248"/>
      <c r="S453" s="248"/>
      <c r="T453" s="248"/>
      <c r="U453" s="248"/>
      <c r="V453" s="248"/>
      <c r="W453" s="248"/>
      <c r="X453" s="248"/>
      <c r="Y453" s="248"/>
      <c r="Z453" s="248"/>
      <c r="AA453" s="248"/>
      <c r="AB453" s="248"/>
    </row>
    <row r="454" spans="2:28" ht="15.75">
      <c r="B454" s="248"/>
      <c r="C454" s="248"/>
      <c r="D454" s="248"/>
      <c r="E454" s="248"/>
      <c r="F454" s="248"/>
      <c r="G454" s="248"/>
      <c r="H454" s="248"/>
      <c r="I454" s="248"/>
      <c r="J454" s="248"/>
      <c r="K454" s="248"/>
      <c r="L454" s="248"/>
      <c r="M454" s="248"/>
      <c r="N454" s="248"/>
      <c r="O454" s="248"/>
      <c r="P454" s="248"/>
      <c r="Q454" s="248"/>
      <c r="R454" s="248"/>
      <c r="S454" s="248"/>
      <c r="T454" s="248"/>
      <c r="U454" s="248"/>
      <c r="V454" s="248"/>
      <c r="W454" s="248"/>
      <c r="X454" s="248"/>
      <c r="Y454" s="248"/>
      <c r="Z454" s="248"/>
      <c r="AA454" s="248"/>
      <c r="AB454" s="248"/>
    </row>
    <row r="455" spans="2:28" ht="15.75">
      <c r="B455" s="248"/>
      <c r="C455" s="248"/>
      <c r="D455" s="248"/>
      <c r="E455" s="248"/>
      <c r="F455" s="248"/>
      <c r="G455" s="248"/>
      <c r="H455" s="248"/>
      <c r="I455" s="248"/>
      <c r="J455" s="248"/>
      <c r="K455" s="248"/>
      <c r="L455" s="248"/>
      <c r="M455" s="248"/>
      <c r="N455" s="248"/>
      <c r="O455" s="248"/>
      <c r="P455" s="248"/>
      <c r="Q455" s="248"/>
      <c r="R455" s="248"/>
      <c r="S455" s="248"/>
      <c r="T455" s="248"/>
      <c r="U455" s="248"/>
      <c r="V455" s="248"/>
      <c r="W455" s="248"/>
      <c r="X455" s="248"/>
      <c r="Y455" s="248"/>
      <c r="Z455" s="248"/>
      <c r="AA455" s="248"/>
      <c r="AB455" s="248"/>
    </row>
    <row r="456" spans="2:28" ht="15.75">
      <c r="B456" s="248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  <c r="M456" s="248"/>
      <c r="N456" s="248"/>
      <c r="O456" s="248"/>
      <c r="P456" s="248"/>
      <c r="Q456" s="248"/>
      <c r="R456" s="248"/>
      <c r="S456" s="248"/>
      <c r="T456" s="248"/>
      <c r="U456" s="248"/>
      <c r="V456" s="248"/>
      <c r="W456" s="248"/>
      <c r="X456" s="248"/>
      <c r="Y456" s="248"/>
      <c r="Z456" s="248"/>
      <c r="AA456" s="248"/>
      <c r="AB456" s="248"/>
    </row>
    <row r="457" spans="2:28" ht="15.75">
      <c r="B457" s="248"/>
      <c r="C457" s="248"/>
      <c r="D457" s="248"/>
      <c r="E457" s="248"/>
      <c r="F457" s="248"/>
      <c r="G457" s="248"/>
      <c r="H457" s="248"/>
      <c r="I457" s="248"/>
      <c r="J457" s="248"/>
      <c r="K457" s="248"/>
      <c r="L457" s="248"/>
      <c r="M457" s="248"/>
      <c r="N457" s="248"/>
      <c r="O457" s="248"/>
      <c r="P457" s="248"/>
      <c r="Q457" s="248"/>
      <c r="R457" s="248"/>
      <c r="S457" s="248"/>
      <c r="T457" s="248"/>
      <c r="U457" s="248"/>
      <c r="V457" s="248"/>
      <c r="W457" s="248"/>
      <c r="X457" s="248"/>
      <c r="Y457" s="248"/>
      <c r="Z457" s="248"/>
      <c r="AA457" s="248"/>
      <c r="AB457" s="248"/>
    </row>
    <row r="458" spans="2:28" ht="15.75">
      <c r="B458" s="248"/>
      <c r="C458" s="248"/>
      <c r="D458" s="248"/>
      <c r="E458" s="248"/>
      <c r="F458" s="248"/>
      <c r="G458" s="248"/>
      <c r="H458" s="248"/>
      <c r="I458" s="248"/>
      <c r="J458" s="248"/>
      <c r="K458" s="248"/>
      <c r="L458" s="248"/>
      <c r="M458" s="248"/>
      <c r="N458" s="248"/>
      <c r="O458" s="248"/>
      <c r="P458" s="248"/>
      <c r="Q458" s="248"/>
      <c r="R458" s="248"/>
      <c r="S458" s="248"/>
      <c r="T458" s="248"/>
      <c r="U458" s="248"/>
      <c r="V458" s="248"/>
      <c r="W458" s="248"/>
      <c r="X458" s="248"/>
      <c r="Y458" s="248"/>
      <c r="Z458" s="248"/>
      <c r="AA458" s="248"/>
      <c r="AB458" s="248"/>
    </row>
    <row r="459" spans="2:28" ht="15.75">
      <c r="B459" s="248"/>
      <c r="C459" s="248"/>
      <c r="D459" s="248"/>
      <c r="E459" s="248"/>
      <c r="F459" s="248"/>
      <c r="G459" s="248"/>
      <c r="H459" s="248"/>
      <c r="I459" s="248"/>
      <c r="J459" s="248"/>
      <c r="K459" s="248"/>
      <c r="L459" s="248"/>
      <c r="M459" s="248"/>
      <c r="N459" s="248"/>
      <c r="O459" s="248"/>
      <c r="P459" s="248"/>
      <c r="Q459" s="248"/>
      <c r="R459" s="248"/>
      <c r="S459" s="248"/>
      <c r="T459" s="248"/>
      <c r="U459" s="248"/>
      <c r="V459" s="248"/>
      <c r="W459" s="248"/>
      <c r="X459" s="248"/>
      <c r="Y459" s="248"/>
      <c r="Z459" s="248"/>
      <c r="AA459" s="248"/>
      <c r="AB459" s="248"/>
    </row>
    <row r="460" spans="2:28" ht="15.75">
      <c r="B460" s="248"/>
      <c r="C460" s="248"/>
      <c r="D460" s="248"/>
      <c r="E460" s="248"/>
      <c r="F460" s="248"/>
      <c r="G460" s="248"/>
      <c r="H460" s="248"/>
      <c r="I460" s="248"/>
      <c r="J460" s="248"/>
      <c r="K460" s="248"/>
      <c r="L460" s="248"/>
      <c r="M460" s="248"/>
      <c r="N460" s="248"/>
      <c r="O460" s="248"/>
      <c r="P460" s="248"/>
      <c r="Q460" s="248"/>
      <c r="R460" s="248"/>
      <c r="S460" s="248"/>
      <c r="T460" s="248"/>
      <c r="U460" s="248"/>
      <c r="V460" s="248"/>
      <c r="W460" s="248"/>
      <c r="X460" s="248"/>
      <c r="Y460" s="248"/>
      <c r="Z460" s="248"/>
      <c r="AA460" s="248"/>
      <c r="AB460" s="248"/>
    </row>
    <row r="461" spans="2:28" ht="15.75">
      <c r="B461" s="248"/>
      <c r="C461" s="248"/>
      <c r="D461" s="248"/>
      <c r="E461" s="248"/>
      <c r="F461" s="248"/>
      <c r="G461" s="248"/>
      <c r="H461" s="248"/>
      <c r="I461" s="248"/>
      <c r="J461" s="248"/>
      <c r="K461" s="248"/>
      <c r="L461" s="248"/>
      <c r="M461" s="248"/>
      <c r="N461" s="248"/>
      <c r="O461" s="248"/>
      <c r="P461" s="248"/>
      <c r="Q461" s="248"/>
      <c r="R461" s="248"/>
      <c r="S461" s="248"/>
      <c r="T461" s="248"/>
      <c r="U461" s="248"/>
      <c r="V461" s="248"/>
      <c r="W461" s="248"/>
      <c r="X461" s="248"/>
      <c r="Y461" s="248"/>
      <c r="Z461" s="248"/>
      <c r="AA461" s="248"/>
      <c r="AB461" s="248"/>
    </row>
    <row r="462" spans="2:28" ht="15.75">
      <c r="B462" s="248"/>
      <c r="C462" s="248"/>
      <c r="D462" s="248"/>
      <c r="E462" s="248"/>
      <c r="F462" s="248"/>
      <c r="G462" s="248"/>
      <c r="H462" s="248"/>
      <c r="I462" s="248"/>
      <c r="J462" s="248"/>
      <c r="K462" s="248"/>
      <c r="L462" s="248"/>
      <c r="M462" s="248"/>
      <c r="N462" s="248"/>
      <c r="O462" s="248"/>
      <c r="P462" s="248"/>
      <c r="Q462" s="248"/>
      <c r="R462" s="248"/>
      <c r="S462" s="248"/>
      <c r="T462" s="248"/>
      <c r="U462" s="248"/>
      <c r="V462" s="248"/>
      <c r="W462" s="248"/>
      <c r="X462" s="248"/>
      <c r="Y462" s="248"/>
      <c r="Z462" s="248"/>
      <c r="AA462" s="248"/>
      <c r="AB462" s="248"/>
    </row>
    <row r="463" spans="2:28" ht="15.75">
      <c r="B463" s="248"/>
      <c r="C463" s="248"/>
      <c r="D463" s="248"/>
      <c r="E463" s="248"/>
      <c r="F463" s="248"/>
      <c r="G463" s="248"/>
      <c r="H463" s="248"/>
      <c r="I463" s="248"/>
      <c r="J463" s="248"/>
      <c r="K463" s="248"/>
      <c r="L463" s="248"/>
      <c r="M463" s="248"/>
      <c r="N463" s="248"/>
      <c r="O463" s="248"/>
      <c r="P463" s="248"/>
      <c r="Q463" s="248"/>
      <c r="R463" s="248"/>
      <c r="S463" s="248"/>
      <c r="T463" s="248"/>
      <c r="U463" s="248"/>
      <c r="V463" s="248"/>
      <c r="W463" s="248"/>
      <c r="X463" s="248"/>
      <c r="Y463" s="248"/>
      <c r="Z463" s="248"/>
      <c r="AA463" s="248"/>
      <c r="AB463" s="248"/>
    </row>
    <row r="464" spans="2:28" ht="15.75">
      <c r="B464" s="248"/>
      <c r="C464" s="248"/>
      <c r="D464" s="248"/>
      <c r="E464" s="248"/>
      <c r="F464" s="248"/>
      <c r="G464" s="248"/>
      <c r="H464" s="248"/>
      <c r="I464" s="248"/>
      <c r="J464" s="248"/>
      <c r="K464" s="248"/>
      <c r="L464" s="248"/>
      <c r="M464" s="248"/>
      <c r="N464" s="248"/>
      <c r="O464" s="248"/>
      <c r="P464" s="248"/>
      <c r="Q464" s="248"/>
      <c r="R464" s="248"/>
      <c r="S464" s="248"/>
      <c r="T464" s="248"/>
      <c r="U464" s="248"/>
      <c r="V464" s="248"/>
      <c r="W464" s="248"/>
      <c r="X464" s="248"/>
      <c r="Y464" s="248"/>
      <c r="Z464" s="248"/>
      <c r="AA464" s="248"/>
      <c r="AB464" s="248"/>
    </row>
    <row r="465" spans="2:28" ht="15.75">
      <c r="B465" s="248"/>
      <c r="C465" s="248"/>
      <c r="D465" s="248"/>
      <c r="E465" s="248"/>
      <c r="F465" s="248"/>
      <c r="G465" s="248"/>
      <c r="H465" s="248"/>
      <c r="I465" s="248"/>
      <c r="J465" s="248"/>
      <c r="K465" s="248"/>
      <c r="L465" s="248"/>
      <c r="M465" s="248"/>
      <c r="N465" s="248"/>
      <c r="O465" s="248"/>
      <c r="P465" s="248"/>
      <c r="Q465" s="248"/>
      <c r="R465" s="248"/>
      <c r="S465" s="248"/>
      <c r="T465" s="248"/>
      <c r="U465" s="248"/>
      <c r="V465" s="248"/>
      <c r="W465" s="248"/>
      <c r="X465" s="248"/>
      <c r="Y465" s="248"/>
      <c r="Z465" s="248"/>
      <c r="AA465" s="248"/>
      <c r="AB465" s="248"/>
    </row>
    <row r="466" spans="2:28" ht="15.75">
      <c r="B466" s="248"/>
      <c r="C466" s="248"/>
      <c r="D466" s="248"/>
      <c r="E466" s="248"/>
      <c r="F466" s="248"/>
      <c r="G466" s="248"/>
      <c r="H466" s="248"/>
      <c r="I466" s="248"/>
      <c r="J466" s="248"/>
      <c r="K466" s="248"/>
      <c r="L466" s="248"/>
      <c r="M466" s="248"/>
      <c r="N466" s="248"/>
      <c r="O466" s="248"/>
      <c r="P466" s="248"/>
      <c r="Q466" s="248"/>
      <c r="R466" s="248"/>
      <c r="S466" s="248"/>
      <c r="T466" s="248"/>
      <c r="U466" s="248"/>
      <c r="V466" s="248"/>
      <c r="W466" s="248"/>
      <c r="X466" s="248"/>
      <c r="Y466" s="248"/>
      <c r="Z466" s="248"/>
      <c r="AA466" s="248"/>
      <c r="AB466" s="248"/>
    </row>
    <row r="467" spans="2:28" ht="15.75">
      <c r="B467" s="248"/>
      <c r="C467" s="248"/>
      <c r="D467" s="248"/>
      <c r="E467" s="248"/>
      <c r="F467" s="248"/>
      <c r="G467" s="248"/>
      <c r="H467" s="248"/>
      <c r="I467" s="248"/>
      <c r="J467" s="248"/>
      <c r="K467" s="248"/>
      <c r="L467" s="248"/>
      <c r="M467" s="248"/>
      <c r="N467" s="248"/>
      <c r="O467" s="248"/>
      <c r="P467" s="248"/>
      <c r="Q467" s="248"/>
      <c r="R467" s="248"/>
      <c r="S467" s="248"/>
      <c r="T467" s="248"/>
      <c r="U467" s="248"/>
      <c r="V467" s="248"/>
      <c r="W467" s="248"/>
      <c r="X467" s="248"/>
      <c r="Y467" s="248"/>
      <c r="Z467" s="248"/>
      <c r="AA467" s="248"/>
      <c r="AB467" s="248"/>
    </row>
    <row r="468" spans="2:28" ht="15.75">
      <c r="B468" s="248"/>
      <c r="C468" s="248"/>
      <c r="D468" s="248"/>
      <c r="E468" s="248"/>
      <c r="F468" s="248"/>
      <c r="G468" s="248"/>
      <c r="H468" s="248"/>
      <c r="I468" s="248"/>
      <c r="J468" s="248"/>
      <c r="K468" s="248"/>
      <c r="L468" s="248"/>
      <c r="M468" s="248"/>
      <c r="N468" s="248"/>
      <c r="O468" s="248"/>
      <c r="P468" s="248"/>
      <c r="Q468" s="248"/>
      <c r="R468" s="248"/>
      <c r="S468" s="248"/>
      <c r="T468" s="248"/>
      <c r="U468" s="248"/>
      <c r="V468" s="248"/>
      <c r="W468" s="248"/>
      <c r="X468" s="248"/>
      <c r="Y468" s="248"/>
      <c r="Z468" s="248"/>
      <c r="AA468" s="248"/>
      <c r="AB468" s="248"/>
    </row>
    <row r="469" spans="2:28" ht="15.75">
      <c r="B469" s="248"/>
      <c r="C469" s="248"/>
      <c r="D469" s="248"/>
      <c r="E469" s="248"/>
      <c r="F469" s="248"/>
      <c r="G469" s="248"/>
      <c r="H469" s="248"/>
      <c r="I469" s="248"/>
      <c r="J469" s="248"/>
      <c r="K469" s="248"/>
      <c r="L469" s="248"/>
      <c r="M469" s="248"/>
      <c r="N469" s="248"/>
      <c r="O469" s="248"/>
      <c r="P469" s="248"/>
      <c r="Q469" s="248"/>
      <c r="R469" s="248"/>
      <c r="S469" s="248"/>
      <c r="T469" s="248"/>
      <c r="U469" s="248"/>
      <c r="V469" s="248"/>
      <c r="W469" s="248"/>
      <c r="X469" s="248"/>
      <c r="Y469" s="248"/>
      <c r="Z469" s="248"/>
      <c r="AA469" s="248"/>
      <c r="AB469" s="248"/>
    </row>
    <row r="470" spans="2:28" ht="15.75">
      <c r="B470" s="248"/>
      <c r="C470" s="248"/>
      <c r="D470" s="248"/>
      <c r="E470" s="248"/>
      <c r="F470" s="248"/>
      <c r="G470" s="248"/>
      <c r="H470" s="248"/>
      <c r="I470" s="248"/>
      <c r="J470" s="248"/>
      <c r="K470" s="248"/>
      <c r="L470" s="248"/>
      <c r="M470" s="248"/>
      <c r="N470" s="248"/>
      <c r="O470" s="248"/>
      <c r="P470" s="248"/>
      <c r="Q470" s="248"/>
      <c r="R470" s="248"/>
      <c r="S470" s="248"/>
      <c r="T470" s="248"/>
      <c r="U470" s="248"/>
      <c r="V470" s="248"/>
      <c r="W470" s="248"/>
      <c r="X470" s="248"/>
      <c r="Y470" s="248"/>
      <c r="Z470" s="248"/>
      <c r="AA470" s="248"/>
      <c r="AB470" s="248"/>
    </row>
    <row r="471" spans="2:28" ht="15.75">
      <c r="B471" s="248"/>
      <c r="C471" s="248"/>
      <c r="D471" s="248"/>
      <c r="E471" s="248"/>
      <c r="F471" s="248"/>
      <c r="G471" s="248"/>
      <c r="H471" s="248"/>
      <c r="I471" s="248"/>
      <c r="J471" s="248"/>
      <c r="K471" s="248"/>
      <c r="L471" s="248"/>
      <c r="M471" s="248"/>
      <c r="N471" s="248"/>
      <c r="O471" s="248"/>
      <c r="P471" s="248"/>
      <c r="Q471" s="248"/>
      <c r="R471" s="248"/>
      <c r="S471" s="248"/>
      <c r="T471" s="248"/>
      <c r="U471" s="248"/>
      <c r="V471" s="248"/>
      <c r="W471" s="248"/>
      <c r="X471" s="248"/>
      <c r="Y471" s="248"/>
      <c r="Z471" s="248"/>
      <c r="AA471" s="248"/>
      <c r="AB471" s="248"/>
    </row>
    <row r="472" spans="2:28" ht="15.75">
      <c r="B472" s="248"/>
      <c r="C472" s="248"/>
      <c r="D472" s="248"/>
      <c r="E472" s="248"/>
      <c r="F472" s="248"/>
      <c r="G472" s="248"/>
      <c r="H472" s="248"/>
      <c r="I472" s="248"/>
      <c r="J472" s="248"/>
      <c r="K472" s="248"/>
      <c r="L472" s="248"/>
      <c r="M472" s="248"/>
      <c r="N472" s="248"/>
      <c r="O472" s="248"/>
      <c r="P472" s="248"/>
      <c r="Q472" s="248"/>
      <c r="R472" s="248"/>
      <c r="S472" s="248"/>
      <c r="T472" s="248"/>
      <c r="U472" s="248"/>
      <c r="V472" s="248"/>
      <c r="W472" s="248"/>
      <c r="X472" s="248"/>
      <c r="Y472" s="248"/>
      <c r="Z472" s="248"/>
      <c r="AA472" s="248"/>
      <c r="AB472" s="248"/>
    </row>
    <row r="473" spans="2:28" ht="15.75">
      <c r="B473" s="248"/>
      <c r="C473" s="248"/>
      <c r="D473" s="248"/>
      <c r="E473" s="248"/>
      <c r="F473" s="248"/>
      <c r="G473" s="248"/>
      <c r="H473" s="248"/>
      <c r="I473" s="248"/>
      <c r="J473" s="248"/>
      <c r="K473" s="248"/>
      <c r="L473" s="248"/>
      <c r="M473" s="248"/>
      <c r="N473" s="248"/>
      <c r="O473" s="248"/>
      <c r="P473" s="248"/>
      <c r="Q473" s="248"/>
      <c r="R473" s="248"/>
      <c r="S473" s="248"/>
      <c r="T473" s="248"/>
      <c r="U473" s="248"/>
      <c r="V473" s="248"/>
      <c r="W473" s="248"/>
      <c r="X473" s="248"/>
      <c r="Y473" s="248"/>
      <c r="Z473" s="248"/>
      <c r="AA473" s="248"/>
      <c r="AB473" s="248"/>
    </row>
    <row r="474" spans="2:28" ht="15.75">
      <c r="B474" s="248"/>
      <c r="C474" s="248"/>
      <c r="D474" s="248"/>
      <c r="E474" s="248"/>
      <c r="F474" s="248"/>
      <c r="G474" s="248"/>
      <c r="H474" s="248"/>
      <c r="I474" s="248"/>
      <c r="J474" s="248"/>
      <c r="K474" s="248"/>
      <c r="L474" s="248"/>
      <c r="M474" s="248"/>
      <c r="N474" s="248"/>
      <c r="O474" s="248"/>
      <c r="P474" s="248"/>
      <c r="Q474" s="248"/>
      <c r="R474" s="248"/>
      <c r="S474" s="248"/>
      <c r="T474" s="248"/>
      <c r="U474" s="248"/>
      <c r="V474" s="248"/>
      <c r="W474" s="248"/>
      <c r="X474" s="248"/>
      <c r="Y474" s="248"/>
      <c r="Z474" s="248"/>
      <c r="AA474" s="248"/>
      <c r="AB474" s="248"/>
    </row>
    <row r="475" spans="2:28" ht="15.75">
      <c r="B475" s="248"/>
      <c r="C475" s="248"/>
      <c r="D475" s="248"/>
      <c r="E475" s="248"/>
      <c r="F475" s="248"/>
      <c r="G475" s="248"/>
      <c r="H475" s="248"/>
      <c r="I475" s="248"/>
      <c r="J475" s="248"/>
      <c r="K475" s="248"/>
      <c r="L475" s="248"/>
      <c r="M475" s="248"/>
      <c r="N475" s="248"/>
      <c r="O475" s="248"/>
      <c r="P475" s="248"/>
      <c r="Q475" s="248"/>
      <c r="R475" s="248"/>
      <c r="S475" s="248"/>
      <c r="T475" s="248"/>
      <c r="U475" s="248"/>
      <c r="V475" s="248"/>
      <c r="W475" s="248"/>
      <c r="X475" s="248"/>
      <c r="Y475" s="248"/>
      <c r="Z475" s="248"/>
      <c r="AA475" s="248"/>
      <c r="AB475" s="248"/>
    </row>
    <row r="476" spans="2:28" ht="15.75">
      <c r="B476" s="248"/>
      <c r="C476" s="248"/>
      <c r="D476" s="248"/>
      <c r="E476" s="248"/>
      <c r="F476" s="248"/>
      <c r="G476" s="248"/>
      <c r="H476" s="248"/>
      <c r="I476" s="248"/>
      <c r="J476" s="248"/>
      <c r="K476" s="248"/>
      <c r="L476" s="248"/>
      <c r="M476" s="248"/>
      <c r="N476" s="248"/>
      <c r="O476" s="248"/>
      <c r="P476" s="248"/>
      <c r="Q476" s="248"/>
      <c r="R476" s="248"/>
      <c r="S476" s="248"/>
      <c r="T476" s="248"/>
      <c r="U476" s="248"/>
      <c r="V476" s="248"/>
      <c r="W476" s="248"/>
      <c r="X476" s="248"/>
      <c r="Y476" s="248"/>
      <c r="Z476" s="248"/>
      <c r="AA476" s="248"/>
      <c r="AB476" s="248"/>
    </row>
    <row r="477" spans="2:28" ht="15.75">
      <c r="B477" s="248"/>
      <c r="C477" s="248"/>
      <c r="D477" s="248"/>
      <c r="E477" s="248"/>
      <c r="F477" s="248"/>
      <c r="G477" s="248"/>
      <c r="H477" s="248"/>
      <c r="I477" s="248"/>
      <c r="J477" s="248"/>
      <c r="K477" s="248"/>
      <c r="L477" s="248"/>
      <c r="M477" s="248"/>
      <c r="N477" s="248"/>
      <c r="O477" s="248"/>
      <c r="P477" s="248"/>
      <c r="Q477" s="248"/>
      <c r="R477" s="248"/>
      <c r="S477" s="248"/>
      <c r="T477" s="248"/>
      <c r="U477" s="248"/>
      <c r="V477" s="248"/>
      <c r="W477" s="248"/>
      <c r="X477" s="248"/>
      <c r="Y477" s="248"/>
      <c r="Z477" s="248"/>
      <c r="AA477" s="248"/>
      <c r="AB477" s="248"/>
    </row>
    <row r="478" spans="2:28" ht="15.75">
      <c r="B478" s="248"/>
      <c r="C478" s="248"/>
      <c r="D478" s="248"/>
      <c r="E478" s="248"/>
      <c r="F478" s="248"/>
      <c r="G478" s="248"/>
      <c r="H478" s="248"/>
      <c r="I478" s="248"/>
      <c r="J478" s="248"/>
      <c r="K478" s="248"/>
      <c r="L478" s="248"/>
      <c r="M478" s="248"/>
      <c r="N478" s="248"/>
      <c r="O478" s="248"/>
      <c r="P478" s="248"/>
      <c r="Q478" s="248"/>
      <c r="R478" s="248"/>
      <c r="S478" s="248"/>
      <c r="T478" s="248"/>
      <c r="U478" s="248"/>
      <c r="V478" s="248"/>
      <c r="W478" s="248"/>
      <c r="X478" s="248"/>
      <c r="Y478" s="248"/>
      <c r="Z478" s="248"/>
      <c r="AA478" s="248"/>
      <c r="AB478" s="248"/>
    </row>
    <row r="479" spans="2:28" ht="15.75">
      <c r="B479" s="248"/>
      <c r="C479" s="248"/>
      <c r="D479" s="248"/>
      <c r="E479" s="248"/>
      <c r="F479" s="248"/>
      <c r="G479" s="248"/>
      <c r="H479" s="248"/>
      <c r="I479" s="248"/>
      <c r="J479" s="248"/>
      <c r="K479" s="248"/>
      <c r="L479" s="248"/>
      <c r="M479" s="248"/>
      <c r="N479" s="248"/>
      <c r="O479" s="248"/>
      <c r="P479" s="248"/>
      <c r="Q479" s="248"/>
      <c r="R479" s="248"/>
      <c r="S479" s="248"/>
      <c r="T479" s="248"/>
      <c r="U479" s="248"/>
      <c r="V479" s="248"/>
      <c r="W479" s="248"/>
      <c r="X479" s="248"/>
      <c r="Y479" s="248"/>
      <c r="Z479" s="248"/>
      <c r="AA479" s="248"/>
      <c r="AB479" s="248"/>
    </row>
    <row r="480" spans="2:28" ht="15.75">
      <c r="B480" s="248"/>
      <c r="C480" s="248"/>
      <c r="D480" s="248"/>
      <c r="E480" s="248"/>
      <c r="F480" s="248"/>
      <c r="G480" s="248"/>
      <c r="H480" s="248"/>
      <c r="I480" s="248"/>
      <c r="J480" s="248"/>
      <c r="K480" s="248"/>
      <c r="L480" s="248"/>
      <c r="M480" s="248"/>
      <c r="N480" s="248"/>
      <c r="O480" s="248"/>
      <c r="P480" s="248"/>
      <c r="Q480" s="248"/>
      <c r="R480" s="248"/>
      <c r="S480" s="248"/>
      <c r="T480" s="248"/>
      <c r="U480" s="248"/>
      <c r="V480" s="248"/>
      <c r="W480" s="248"/>
      <c r="X480" s="248"/>
      <c r="Y480" s="248"/>
      <c r="Z480" s="248"/>
      <c r="AA480" s="248"/>
      <c r="AB480" s="248"/>
    </row>
    <row r="481" spans="2:28" ht="15.75">
      <c r="B481" s="248"/>
      <c r="C481" s="248"/>
      <c r="D481" s="248"/>
      <c r="E481" s="248"/>
      <c r="F481" s="248"/>
      <c r="G481" s="248"/>
      <c r="H481" s="248"/>
      <c r="I481" s="248"/>
      <c r="J481" s="248"/>
      <c r="K481" s="248"/>
      <c r="L481" s="248"/>
      <c r="M481" s="248"/>
      <c r="N481" s="248"/>
      <c r="O481" s="248"/>
      <c r="P481" s="248"/>
      <c r="Q481" s="248"/>
      <c r="R481" s="248"/>
      <c r="S481" s="248"/>
      <c r="T481" s="248"/>
      <c r="U481" s="248"/>
      <c r="V481" s="248"/>
      <c r="W481" s="248"/>
      <c r="X481" s="248"/>
      <c r="Y481" s="248"/>
      <c r="Z481" s="248"/>
      <c r="AA481" s="248"/>
      <c r="AB481" s="248"/>
    </row>
    <row r="482" spans="2:28" ht="15.75">
      <c r="B482" s="248"/>
      <c r="C482" s="248"/>
      <c r="D482" s="248"/>
      <c r="E482" s="248"/>
      <c r="F482" s="248"/>
      <c r="G482" s="248"/>
      <c r="H482" s="248"/>
      <c r="I482" s="248"/>
      <c r="J482" s="248"/>
      <c r="K482" s="248"/>
      <c r="L482" s="248"/>
      <c r="M482" s="248"/>
      <c r="N482" s="248"/>
      <c r="O482" s="248"/>
      <c r="P482" s="248"/>
      <c r="Q482" s="248"/>
      <c r="R482" s="248"/>
      <c r="S482" s="248"/>
      <c r="T482" s="248"/>
      <c r="U482" s="248"/>
      <c r="V482" s="248"/>
      <c r="W482" s="248"/>
      <c r="X482" s="248"/>
      <c r="Y482" s="248"/>
      <c r="Z482" s="248"/>
      <c r="AA482" s="248"/>
      <c r="AB482" s="248"/>
    </row>
    <row r="483" spans="2:28" ht="15.75">
      <c r="B483" s="248"/>
      <c r="C483" s="248"/>
      <c r="D483" s="248"/>
      <c r="E483" s="248"/>
      <c r="F483" s="248"/>
      <c r="G483" s="248"/>
      <c r="H483" s="248"/>
      <c r="I483" s="248"/>
      <c r="J483" s="248"/>
      <c r="K483" s="248"/>
      <c r="L483" s="248"/>
      <c r="M483" s="248"/>
      <c r="N483" s="248"/>
      <c r="O483" s="248"/>
      <c r="P483" s="248"/>
      <c r="Q483" s="248"/>
      <c r="R483" s="248"/>
      <c r="S483" s="248"/>
      <c r="T483" s="248"/>
      <c r="U483" s="248"/>
      <c r="V483" s="248"/>
      <c r="W483" s="248"/>
      <c r="X483" s="248"/>
      <c r="Y483" s="248"/>
      <c r="Z483" s="248"/>
      <c r="AA483" s="248"/>
      <c r="AB483" s="248"/>
    </row>
    <row r="484" spans="2:28" ht="15.75">
      <c r="B484" s="248"/>
      <c r="C484" s="248"/>
      <c r="D484" s="248"/>
      <c r="E484" s="248"/>
      <c r="F484" s="248"/>
      <c r="G484" s="248"/>
      <c r="H484" s="248"/>
      <c r="I484" s="248"/>
      <c r="J484" s="248"/>
      <c r="K484" s="248"/>
      <c r="L484" s="248"/>
      <c r="M484" s="248"/>
      <c r="N484" s="248"/>
      <c r="O484" s="248"/>
      <c r="P484" s="248"/>
      <c r="Q484" s="248"/>
      <c r="R484" s="248"/>
      <c r="S484" s="248"/>
      <c r="T484" s="248"/>
      <c r="U484" s="248"/>
      <c r="V484" s="248"/>
      <c r="W484" s="248"/>
      <c r="X484" s="248"/>
      <c r="Y484" s="248"/>
      <c r="Z484" s="248"/>
      <c r="AA484" s="248"/>
      <c r="AB484" s="248"/>
    </row>
    <row r="485" spans="2:28" ht="15.75">
      <c r="B485" s="248"/>
      <c r="C485" s="248"/>
      <c r="D485" s="248"/>
      <c r="E485" s="248"/>
      <c r="F485" s="248"/>
      <c r="G485" s="248"/>
      <c r="H485" s="248"/>
      <c r="I485" s="248"/>
      <c r="J485" s="248"/>
      <c r="K485" s="248"/>
      <c r="L485" s="248"/>
      <c r="M485" s="248"/>
      <c r="N485" s="248"/>
      <c r="O485" s="248"/>
      <c r="P485" s="248"/>
      <c r="Q485" s="248"/>
      <c r="R485" s="248"/>
      <c r="S485" s="248"/>
      <c r="T485" s="248"/>
      <c r="U485" s="248"/>
      <c r="V485" s="248"/>
      <c r="W485" s="248"/>
      <c r="X485" s="248"/>
      <c r="Y485" s="248"/>
      <c r="Z485" s="248"/>
      <c r="AA485" s="248"/>
      <c r="AB485" s="248"/>
    </row>
    <row r="486" spans="2:28" ht="15.75">
      <c r="B486" s="248"/>
      <c r="C486" s="248"/>
      <c r="D486" s="248"/>
      <c r="E486" s="248"/>
      <c r="F486" s="248"/>
      <c r="G486" s="248"/>
      <c r="H486" s="248"/>
      <c r="I486" s="248"/>
      <c r="J486" s="248"/>
      <c r="K486" s="248"/>
      <c r="L486" s="248"/>
      <c r="M486" s="248"/>
      <c r="N486" s="248"/>
      <c r="O486" s="248"/>
      <c r="P486" s="248"/>
      <c r="Q486" s="248"/>
      <c r="R486" s="248"/>
      <c r="S486" s="248"/>
      <c r="T486" s="248"/>
      <c r="U486" s="248"/>
      <c r="V486" s="248"/>
      <c r="W486" s="248"/>
      <c r="X486" s="248"/>
      <c r="Y486" s="248"/>
      <c r="Z486" s="248"/>
      <c r="AA486" s="248"/>
      <c r="AB486" s="248"/>
    </row>
    <row r="487" spans="2:28" ht="15.75">
      <c r="B487" s="248"/>
      <c r="C487" s="248"/>
      <c r="D487" s="248"/>
      <c r="E487" s="248"/>
      <c r="F487" s="248"/>
      <c r="G487" s="248"/>
      <c r="H487" s="248"/>
      <c r="I487" s="248"/>
      <c r="J487" s="248"/>
      <c r="K487" s="248"/>
      <c r="L487" s="248"/>
      <c r="M487" s="248"/>
      <c r="N487" s="248"/>
      <c r="O487" s="248"/>
      <c r="P487" s="248"/>
      <c r="Q487" s="248"/>
      <c r="R487" s="248"/>
      <c r="S487" s="248"/>
      <c r="T487" s="248"/>
      <c r="U487" s="248"/>
      <c r="V487" s="248"/>
      <c r="W487" s="248"/>
      <c r="X487" s="248"/>
      <c r="Y487" s="248"/>
      <c r="Z487" s="248"/>
      <c r="AA487" s="248"/>
      <c r="AB487" s="248"/>
    </row>
    <row r="488" spans="2:28" ht="15.75">
      <c r="B488" s="248"/>
      <c r="C488" s="248"/>
      <c r="D488" s="248"/>
      <c r="E488" s="248"/>
      <c r="F488" s="248"/>
      <c r="G488" s="248"/>
      <c r="H488" s="248"/>
      <c r="I488" s="248"/>
      <c r="J488" s="248"/>
      <c r="K488" s="248"/>
      <c r="L488" s="248"/>
      <c r="M488" s="248"/>
      <c r="N488" s="248"/>
      <c r="O488" s="248"/>
      <c r="P488" s="248"/>
      <c r="Q488" s="248"/>
      <c r="R488" s="248"/>
      <c r="S488" s="248"/>
      <c r="T488" s="248"/>
      <c r="U488" s="248"/>
      <c r="V488" s="248"/>
      <c r="W488" s="248"/>
      <c r="X488" s="248"/>
      <c r="Y488" s="248"/>
      <c r="Z488" s="248"/>
      <c r="AA488" s="248"/>
      <c r="AB488" s="248"/>
    </row>
    <row r="489" spans="2:28" ht="15.75">
      <c r="B489" s="248"/>
      <c r="C489" s="248"/>
      <c r="D489" s="248"/>
      <c r="E489" s="248"/>
      <c r="F489" s="248"/>
      <c r="G489" s="248"/>
      <c r="H489" s="248"/>
      <c r="I489" s="248"/>
      <c r="J489" s="248"/>
      <c r="K489" s="248"/>
      <c r="L489" s="248"/>
      <c r="M489" s="248"/>
      <c r="N489" s="248"/>
      <c r="O489" s="248"/>
      <c r="P489" s="248"/>
      <c r="Q489" s="248"/>
      <c r="R489" s="248"/>
      <c r="S489" s="248"/>
      <c r="T489" s="248"/>
      <c r="U489" s="248"/>
      <c r="V489" s="248"/>
      <c r="W489" s="248"/>
      <c r="X489" s="248"/>
      <c r="Y489" s="248"/>
      <c r="Z489" s="248"/>
      <c r="AA489" s="248"/>
      <c r="AB489" s="248"/>
    </row>
    <row r="490" spans="2:28" ht="15.75">
      <c r="B490" s="248"/>
      <c r="C490" s="248"/>
      <c r="D490" s="248"/>
      <c r="E490" s="248"/>
      <c r="F490" s="248"/>
      <c r="G490" s="248"/>
      <c r="H490" s="248"/>
      <c r="I490" s="248"/>
      <c r="J490" s="248"/>
      <c r="K490" s="248"/>
      <c r="L490" s="248"/>
      <c r="M490" s="248"/>
      <c r="N490" s="248"/>
      <c r="O490" s="248"/>
      <c r="P490" s="248"/>
      <c r="Q490" s="248"/>
      <c r="R490" s="248"/>
      <c r="S490" s="248"/>
      <c r="T490" s="248"/>
      <c r="U490" s="248"/>
      <c r="V490" s="248"/>
      <c r="W490" s="248"/>
      <c r="X490" s="248"/>
      <c r="Y490" s="248"/>
      <c r="Z490" s="248"/>
      <c r="AA490" s="248"/>
      <c r="AB490" s="248"/>
    </row>
    <row r="491" spans="2:28" ht="15.75">
      <c r="B491" s="248"/>
      <c r="C491" s="248"/>
      <c r="D491" s="248"/>
      <c r="E491" s="248"/>
      <c r="F491" s="248"/>
      <c r="G491" s="248"/>
      <c r="H491" s="248"/>
      <c r="I491" s="248"/>
      <c r="J491" s="248"/>
      <c r="K491" s="248"/>
      <c r="L491" s="248"/>
      <c r="M491" s="248"/>
      <c r="N491" s="248"/>
      <c r="O491" s="248"/>
      <c r="P491" s="248"/>
      <c r="Q491" s="248"/>
      <c r="R491" s="248"/>
      <c r="S491" s="248"/>
      <c r="T491" s="248"/>
      <c r="U491" s="248"/>
      <c r="V491" s="248"/>
      <c r="W491" s="248"/>
      <c r="X491" s="248"/>
      <c r="Y491" s="248"/>
      <c r="Z491" s="248"/>
      <c r="AA491" s="248"/>
      <c r="AB491" s="248"/>
    </row>
    <row r="492" spans="2:28" ht="15.75">
      <c r="B492" s="248"/>
      <c r="C492" s="248"/>
      <c r="D492" s="248"/>
      <c r="E492" s="248"/>
      <c r="F492" s="248"/>
      <c r="G492" s="248"/>
      <c r="H492" s="248"/>
      <c r="I492" s="248"/>
      <c r="J492" s="248"/>
      <c r="K492" s="248"/>
      <c r="L492" s="248"/>
      <c r="M492" s="248"/>
      <c r="N492" s="248"/>
      <c r="O492" s="248"/>
      <c r="P492" s="248"/>
      <c r="Q492" s="248"/>
      <c r="R492" s="248"/>
      <c r="S492" s="248"/>
      <c r="T492" s="248"/>
      <c r="U492" s="248"/>
      <c r="V492" s="248"/>
      <c r="W492" s="248"/>
      <c r="X492" s="248"/>
      <c r="Y492" s="248"/>
      <c r="Z492" s="248"/>
      <c r="AA492" s="248"/>
      <c r="AB492" s="248"/>
    </row>
    <row r="493" spans="2:28" ht="15.75">
      <c r="B493" s="248"/>
      <c r="C493" s="248"/>
      <c r="D493" s="248"/>
      <c r="E493" s="248"/>
      <c r="F493" s="248"/>
      <c r="G493" s="248"/>
      <c r="H493" s="248"/>
      <c r="I493" s="248"/>
      <c r="J493" s="248"/>
      <c r="K493" s="248"/>
      <c r="L493" s="248"/>
      <c r="M493" s="248"/>
      <c r="N493" s="248"/>
      <c r="O493" s="248"/>
      <c r="P493" s="248"/>
      <c r="Q493" s="248"/>
      <c r="R493" s="248"/>
      <c r="S493" s="248"/>
      <c r="T493" s="248"/>
      <c r="U493" s="248"/>
      <c r="V493" s="248"/>
      <c r="W493" s="248"/>
      <c r="X493" s="248"/>
      <c r="Y493" s="248"/>
      <c r="Z493" s="248"/>
      <c r="AA493" s="248"/>
      <c r="AB493" s="248"/>
    </row>
    <row r="494" spans="2:28" ht="15.75">
      <c r="B494" s="248"/>
      <c r="C494" s="248"/>
      <c r="D494" s="248"/>
      <c r="E494" s="248"/>
      <c r="F494" s="248"/>
      <c r="G494" s="248"/>
      <c r="H494" s="248"/>
      <c r="I494" s="248"/>
      <c r="J494" s="248"/>
      <c r="K494" s="248"/>
      <c r="L494" s="248"/>
      <c r="M494" s="248"/>
      <c r="N494" s="248"/>
      <c r="O494" s="248"/>
      <c r="P494" s="248"/>
      <c r="Q494" s="248"/>
      <c r="R494" s="248"/>
      <c r="S494" s="248"/>
      <c r="T494" s="248"/>
      <c r="U494" s="248"/>
      <c r="V494" s="248"/>
      <c r="W494" s="248"/>
      <c r="X494" s="248"/>
      <c r="Y494" s="248"/>
      <c r="Z494" s="248"/>
      <c r="AA494" s="248"/>
      <c r="AB494" s="248"/>
    </row>
    <row r="495" spans="2:28" ht="15.75">
      <c r="B495" s="248"/>
      <c r="C495" s="248"/>
      <c r="D495" s="248"/>
      <c r="E495" s="248"/>
      <c r="F495" s="248"/>
      <c r="G495" s="248"/>
      <c r="H495" s="248"/>
      <c r="I495" s="248"/>
      <c r="J495" s="248"/>
      <c r="K495" s="248"/>
      <c r="L495" s="248"/>
      <c r="M495" s="248"/>
      <c r="N495" s="248"/>
      <c r="O495" s="248"/>
      <c r="P495" s="248"/>
      <c r="Q495" s="248"/>
      <c r="R495" s="248"/>
      <c r="S495" s="248"/>
      <c r="T495" s="248"/>
      <c r="U495" s="248"/>
      <c r="V495" s="248"/>
      <c r="W495" s="248"/>
      <c r="X495" s="248"/>
      <c r="Y495" s="248"/>
      <c r="Z495" s="248"/>
      <c r="AA495" s="248"/>
      <c r="AB495" s="248"/>
    </row>
    <row r="496" spans="2:28" ht="15.75">
      <c r="B496" s="248"/>
      <c r="C496" s="248"/>
      <c r="D496" s="248"/>
      <c r="E496" s="248"/>
      <c r="F496" s="248"/>
      <c r="G496" s="248"/>
      <c r="H496" s="248"/>
      <c r="I496" s="248"/>
      <c r="J496" s="248"/>
      <c r="K496" s="248"/>
      <c r="L496" s="248"/>
      <c r="M496" s="248"/>
      <c r="N496" s="248"/>
      <c r="O496" s="248"/>
      <c r="P496" s="248"/>
      <c r="Q496" s="248"/>
      <c r="R496" s="248"/>
      <c r="S496" s="248"/>
      <c r="T496" s="248"/>
      <c r="U496" s="248"/>
      <c r="V496" s="248"/>
      <c r="W496" s="248"/>
      <c r="X496" s="248"/>
      <c r="Y496" s="248"/>
      <c r="Z496" s="248"/>
      <c r="AA496" s="248"/>
      <c r="AB496" s="248"/>
    </row>
    <row r="497" spans="2:28" ht="15.75">
      <c r="B497" s="248"/>
      <c r="C497" s="248"/>
      <c r="D497" s="248"/>
      <c r="E497" s="248"/>
      <c r="F497" s="248"/>
      <c r="G497" s="248"/>
      <c r="H497" s="248"/>
      <c r="I497" s="248"/>
      <c r="J497" s="248"/>
      <c r="K497" s="248"/>
      <c r="L497" s="248"/>
      <c r="M497" s="248"/>
      <c r="N497" s="248"/>
      <c r="O497" s="248"/>
      <c r="P497" s="248"/>
      <c r="Q497" s="248"/>
      <c r="R497" s="248"/>
      <c r="S497" s="248"/>
      <c r="T497" s="248"/>
      <c r="U497" s="248"/>
      <c r="V497" s="248"/>
      <c r="W497" s="248"/>
      <c r="X497" s="248"/>
      <c r="Y497" s="248"/>
      <c r="Z497" s="248"/>
      <c r="AA497" s="248"/>
      <c r="AB497" s="248"/>
    </row>
    <row r="498" spans="2:28" ht="15.75">
      <c r="B498" s="248"/>
      <c r="C498" s="248"/>
      <c r="D498" s="248"/>
      <c r="E498" s="248"/>
      <c r="F498" s="248"/>
      <c r="G498" s="248"/>
      <c r="H498" s="248"/>
      <c r="I498" s="248"/>
      <c r="J498" s="248"/>
      <c r="K498" s="248"/>
      <c r="L498" s="248"/>
      <c r="M498" s="248"/>
      <c r="N498" s="248"/>
      <c r="O498" s="248"/>
      <c r="P498" s="248"/>
      <c r="Q498" s="248"/>
      <c r="R498" s="248"/>
      <c r="S498" s="248"/>
      <c r="T498" s="248"/>
      <c r="U498" s="248"/>
      <c r="V498" s="248"/>
      <c r="W498" s="248"/>
      <c r="X498" s="248"/>
      <c r="Y498" s="248"/>
      <c r="Z498" s="248"/>
      <c r="AA498" s="248"/>
      <c r="AB498" s="248"/>
    </row>
    <row r="499" spans="2:28" ht="15.75">
      <c r="B499" s="248"/>
      <c r="C499" s="248"/>
      <c r="D499" s="248"/>
      <c r="E499" s="248"/>
      <c r="F499" s="248"/>
      <c r="G499" s="248"/>
      <c r="H499" s="248"/>
      <c r="I499" s="248"/>
      <c r="J499" s="248"/>
      <c r="K499" s="248"/>
      <c r="L499" s="248"/>
      <c r="M499" s="248"/>
      <c r="N499" s="248"/>
      <c r="O499" s="248"/>
      <c r="P499" s="248"/>
      <c r="Q499" s="248"/>
      <c r="R499" s="248"/>
      <c r="S499" s="248"/>
      <c r="T499" s="248"/>
      <c r="U499" s="248"/>
      <c r="V499" s="248"/>
      <c r="W499" s="248"/>
      <c r="X499" s="248"/>
      <c r="Y499" s="248"/>
      <c r="Z499" s="248"/>
      <c r="AA499" s="248"/>
      <c r="AB499" s="248"/>
    </row>
    <row r="500" spans="2:28" ht="15.75">
      <c r="B500" s="248"/>
      <c r="C500" s="248"/>
      <c r="D500" s="248"/>
      <c r="E500" s="248"/>
      <c r="F500" s="248"/>
      <c r="G500" s="248"/>
      <c r="H500" s="248"/>
      <c r="I500" s="248"/>
      <c r="J500" s="248"/>
      <c r="K500" s="248"/>
      <c r="L500" s="248"/>
      <c r="M500" s="248"/>
      <c r="N500" s="248"/>
      <c r="O500" s="248"/>
      <c r="P500" s="248"/>
      <c r="Q500" s="248"/>
      <c r="R500" s="248"/>
      <c r="S500" s="248"/>
      <c r="T500" s="248"/>
      <c r="U500" s="248"/>
      <c r="V500" s="248"/>
      <c r="W500" s="248"/>
      <c r="X500" s="248"/>
      <c r="Y500" s="248"/>
      <c r="Z500" s="248"/>
      <c r="AA500" s="248"/>
      <c r="AB500" s="248"/>
    </row>
    <row r="501" spans="2:28" ht="15.75">
      <c r="B501" s="248"/>
      <c r="C501" s="248"/>
      <c r="D501" s="248"/>
      <c r="E501" s="248"/>
      <c r="F501" s="248"/>
      <c r="G501" s="248"/>
      <c r="H501" s="248"/>
      <c r="I501" s="248"/>
      <c r="J501" s="248"/>
      <c r="K501" s="248"/>
      <c r="L501" s="248"/>
      <c r="M501" s="248"/>
      <c r="N501" s="248"/>
      <c r="O501" s="248"/>
      <c r="P501" s="248"/>
      <c r="Q501" s="248"/>
      <c r="R501" s="248"/>
      <c r="S501" s="248"/>
      <c r="T501" s="248"/>
      <c r="U501" s="248"/>
      <c r="V501" s="248"/>
      <c r="W501" s="248"/>
      <c r="X501" s="248"/>
      <c r="Y501" s="248"/>
      <c r="Z501" s="248"/>
      <c r="AA501" s="248"/>
      <c r="AB501" s="248"/>
    </row>
    <row r="502" spans="2:28" ht="15.75">
      <c r="B502" s="248"/>
      <c r="C502" s="248"/>
      <c r="D502" s="248"/>
      <c r="E502" s="248"/>
      <c r="F502" s="248"/>
      <c r="G502" s="248"/>
      <c r="H502" s="248"/>
      <c r="I502" s="248"/>
      <c r="J502" s="248"/>
      <c r="K502" s="248"/>
      <c r="L502" s="248"/>
      <c r="M502" s="248"/>
      <c r="N502" s="248"/>
      <c r="O502" s="248"/>
      <c r="P502" s="248"/>
      <c r="Q502" s="248"/>
      <c r="R502" s="248"/>
      <c r="S502" s="248"/>
      <c r="T502" s="248"/>
      <c r="U502" s="248"/>
      <c r="V502" s="248"/>
      <c r="W502" s="248"/>
      <c r="X502" s="248"/>
      <c r="Y502" s="248"/>
      <c r="Z502" s="248"/>
      <c r="AA502" s="248"/>
      <c r="AB502" s="248"/>
    </row>
    <row r="503" spans="2:28" ht="15.75">
      <c r="B503" s="248"/>
      <c r="C503" s="248"/>
      <c r="D503" s="248"/>
      <c r="E503" s="248"/>
      <c r="F503" s="248"/>
      <c r="G503" s="248"/>
      <c r="H503" s="248"/>
      <c r="I503" s="248"/>
      <c r="J503" s="248"/>
      <c r="K503" s="248"/>
      <c r="L503" s="248"/>
      <c r="M503" s="248"/>
      <c r="N503" s="248"/>
      <c r="O503" s="248"/>
      <c r="P503" s="248"/>
      <c r="Q503" s="248"/>
      <c r="R503" s="248"/>
      <c r="S503" s="248"/>
      <c r="T503" s="248"/>
      <c r="U503" s="248"/>
      <c r="V503" s="248"/>
      <c r="W503" s="248"/>
      <c r="X503" s="248"/>
      <c r="Y503" s="248"/>
      <c r="Z503" s="248"/>
      <c r="AA503" s="248"/>
      <c r="AB503" s="248"/>
    </row>
    <row r="504" spans="2:28" ht="15.75">
      <c r="B504" s="248"/>
      <c r="C504" s="248"/>
      <c r="D504" s="248"/>
      <c r="E504" s="248"/>
      <c r="F504" s="248"/>
      <c r="G504" s="248"/>
      <c r="H504" s="248"/>
      <c r="I504" s="248"/>
      <c r="J504" s="248"/>
      <c r="K504" s="248"/>
      <c r="L504" s="248"/>
      <c r="M504" s="248"/>
      <c r="N504" s="248"/>
      <c r="O504" s="248"/>
      <c r="P504" s="248"/>
      <c r="Q504" s="248"/>
      <c r="R504" s="248"/>
      <c r="S504" s="248"/>
      <c r="T504" s="248"/>
      <c r="U504" s="248"/>
      <c r="V504" s="248"/>
      <c r="W504" s="248"/>
      <c r="X504" s="248"/>
      <c r="Y504" s="248"/>
      <c r="Z504" s="248"/>
      <c r="AA504" s="248"/>
      <c r="AB504" s="248"/>
    </row>
    <row r="505" spans="2:28" ht="15.75">
      <c r="B505" s="248"/>
      <c r="C505" s="248"/>
      <c r="D505" s="248"/>
      <c r="E505" s="248"/>
      <c r="F505" s="248"/>
      <c r="G505" s="248"/>
      <c r="H505" s="248"/>
      <c r="I505" s="248"/>
      <c r="J505" s="248"/>
      <c r="K505" s="248"/>
      <c r="L505" s="248"/>
      <c r="M505" s="248"/>
      <c r="N505" s="248"/>
      <c r="O505" s="248"/>
      <c r="P505" s="248"/>
      <c r="Q505" s="248"/>
      <c r="R505" s="248"/>
      <c r="S505" s="248"/>
      <c r="T505" s="248"/>
      <c r="U505" s="248"/>
      <c r="V505" s="248"/>
      <c r="W505" s="248"/>
      <c r="X505" s="248"/>
      <c r="Y505" s="248"/>
      <c r="Z505" s="248"/>
      <c r="AA505" s="248"/>
      <c r="AB505" s="248"/>
    </row>
    <row r="506" spans="2:28" ht="15.75">
      <c r="B506" s="248"/>
      <c r="C506" s="248"/>
      <c r="D506" s="248"/>
      <c r="E506" s="248"/>
      <c r="F506" s="248"/>
      <c r="G506" s="248"/>
      <c r="H506" s="248"/>
      <c r="I506" s="248"/>
      <c r="J506" s="248"/>
      <c r="K506" s="248"/>
      <c r="L506" s="248"/>
      <c r="M506" s="248"/>
      <c r="N506" s="248"/>
      <c r="O506" s="248"/>
      <c r="P506" s="248"/>
      <c r="Q506" s="248"/>
      <c r="R506" s="248"/>
      <c r="S506" s="248"/>
      <c r="T506" s="248"/>
      <c r="U506" s="248"/>
      <c r="V506" s="248"/>
      <c r="W506" s="248"/>
      <c r="X506" s="248"/>
      <c r="Y506" s="248"/>
      <c r="Z506" s="248"/>
      <c r="AA506" s="248"/>
      <c r="AB506" s="248"/>
    </row>
    <row r="507" spans="2:28" ht="15.75">
      <c r="B507" s="248"/>
      <c r="C507" s="248"/>
      <c r="D507" s="248"/>
      <c r="E507" s="248"/>
      <c r="F507" s="248"/>
      <c r="G507" s="248"/>
      <c r="H507" s="248"/>
      <c r="I507" s="248"/>
      <c r="J507" s="248"/>
      <c r="K507" s="248"/>
      <c r="L507" s="248"/>
      <c r="M507" s="248"/>
      <c r="N507" s="248"/>
      <c r="O507" s="248"/>
      <c r="P507" s="248"/>
      <c r="Q507" s="248"/>
      <c r="R507" s="248"/>
      <c r="S507" s="248"/>
      <c r="T507" s="248"/>
      <c r="U507" s="248"/>
      <c r="V507" s="248"/>
      <c r="W507" s="248"/>
      <c r="X507" s="248"/>
      <c r="Y507" s="248"/>
      <c r="Z507" s="248"/>
      <c r="AA507" s="248"/>
      <c r="AB507" s="248"/>
    </row>
    <row r="508" spans="2:28" ht="15.75">
      <c r="B508" s="248"/>
      <c r="C508" s="248"/>
      <c r="D508" s="248"/>
      <c r="E508" s="248"/>
      <c r="F508" s="248"/>
      <c r="G508" s="248"/>
      <c r="H508" s="248"/>
      <c r="I508" s="248"/>
      <c r="J508" s="248"/>
      <c r="K508" s="248"/>
      <c r="L508" s="248"/>
      <c r="M508" s="248"/>
      <c r="N508" s="248"/>
      <c r="O508" s="248"/>
      <c r="P508" s="248"/>
      <c r="Q508" s="248"/>
      <c r="R508" s="248"/>
      <c r="S508" s="248"/>
      <c r="T508" s="248"/>
      <c r="U508" s="248"/>
      <c r="V508" s="248"/>
      <c r="W508" s="248"/>
      <c r="X508" s="248"/>
      <c r="Y508" s="248"/>
      <c r="Z508" s="248"/>
      <c r="AA508" s="248"/>
      <c r="AB508" s="248"/>
    </row>
    <row r="509" spans="2:28" ht="15.75">
      <c r="B509" s="248"/>
      <c r="C509" s="248"/>
      <c r="D509" s="248"/>
      <c r="E509" s="248"/>
      <c r="F509" s="248"/>
      <c r="G509" s="248"/>
      <c r="H509" s="248"/>
      <c r="I509" s="248"/>
      <c r="J509" s="248"/>
      <c r="K509" s="248"/>
      <c r="L509" s="248"/>
      <c r="M509" s="248"/>
      <c r="N509" s="248"/>
      <c r="O509" s="248"/>
      <c r="P509" s="248"/>
      <c r="Q509" s="248"/>
      <c r="R509" s="248"/>
      <c r="S509" s="248"/>
      <c r="T509" s="248"/>
      <c r="U509" s="248"/>
      <c r="V509" s="248"/>
      <c r="W509" s="248"/>
      <c r="X509" s="248"/>
      <c r="Y509" s="248"/>
      <c r="Z509" s="248"/>
      <c r="AA509" s="248"/>
      <c r="AB509" s="248"/>
    </row>
    <row r="510" spans="2:28" ht="15.75">
      <c r="B510" s="248"/>
      <c r="C510" s="248"/>
      <c r="D510" s="248"/>
      <c r="E510" s="248"/>
      <c r="F510" s="248"/>
      <c r="G510" s="248"/>
      <c r="H510" s="248"/>
      <c r="I510" s="248"/>
      <c r="J510" s="248"/>
      <c r="K510" s="248"/>
      <c r="L510" s="248"/>
      <c r="M510" s="248"/>
      <c r="N510" s="248"/>
      <c r="O510" s="248"/>
      <c r="P510" s="248"/>
      <c r="Q510" s="248"/>
      <c r="R510" s="248"/>
      <c r="S510" s="248"/>
      <c r="T510" s="248"/>
      <c r="U510" s="248"/>
      <c r="V510" s="248"/>
      <c r="W510" s="248"/>
      <c r="X510" s="248"/>
      <c r="Y510" s="248"/>
      <c r="Z510" s="248"/>
      <c r="AA510" s="248"/>
      <c r="AB510" s="248"/>
    </row>
    <row r="511" spans="2:28" ht="15.75">
      <c r="B511" s="248"/>
      <c r="C511" s="248"/>
      <c r="D511" s="248"/>
      <c r="E511" s="248"/>
      <c r="F511" s="248"/>
      <c r="G511" s="248"/>
      <c r="H511" s="248"/>
      <c r="I511" s="248"/>
      <c r="J511" s="248"/>
      <c r="K511" s="248"/>
      <c r="L511" s="248"/>
      <c r="M511" s="248"/>
      <c r="N511" s="248"/>
      <c r="O511" s="248"/>
      <c r="P511" s="248"/>
      <c r="Q511" s="248"/>
      <c r="R511" s="248"/>
      <c r="S511" s="248"/>
      <c r="T511" s="248"/>
      <c r="U511" s="248"/>
      <c r="V511" s="248"/>
      <c r="W511" s="248"/>
      <c r="X511" s="248"/>
      <c r="Y511" s="248"/>
      <c r="Z511" s="248"/>
      <c r="AA511" s="248"/>
      <c r="AB511" s="248"/>
    </row>
    <row r="512" spans="2:28" ht="15.75">
      <c r="B512" s="248"/>
      <c r="C512" s="248"/>
      <c r="D512" s="248"/>
      <c r="E512" s="248"/>
      <c r="F512" s="248"/>
      <c r="G512" s="248"/>
      <c r="H512" s="248"/>
      <c r="I512" s="248"/>
      <c r="J512" s="248"/>
      <c r="K512" s="248"/>
      <c r="L512" s="248"/>
      <c r="M512" s="248"/>
      <c r="N512" s="248"/>
      <c r="O512" s="248"/>
      <c r="P512" s="248"/>
      <c r="Q512" s="248"/>
      <c r="R512" s="248"/>
      <c r="S512" s="248"/>
      <c r="T512" s="248"/>
      <c r="U512" s="248"/>
      <c r="V512" s="248"/>
      <c r="W512" s="248"/>
      <c r="X512" s="248"/>
      <c r="Y512" s="248"/>
      <c r="Z512" s="248"/>
      <c r="AA512" s="248"/>
      <c r="AB512" s="248"/>
    </row>
    <row r="513" spans="2:28" ht="15.75">
      <c r="B513" s="248"/>
      <c r="C513" s="248"/>
      <c r="D513" s="248"/>
      <c r="E513" s="248"/>
      <c r="F513" s="248"/>
      <c r="G513" s="248"/>
      <c r="H513" s="248"/>
      <c r="I513" s="248"/>
      <c r="J513" s="248"/>
      <c r="K513" s="248"/>
      <c r="L513" s="248"/>
      <c r="M513" s="248"/>
      <c r="N513" s="248"/>
      <c r="O513" s="248"/>
      <c r="P513" s="248"/>
      <c r="Q513" s="248"/>
      <c r="R513" s="248"/>
      <c r="S513" s="248"/>
      <c r="T513" s="248"/>
      <c r="U513" s="248"/>
      <c r="V513" s="248"/>
      <c r="W513" s="248"/>
      <c r="X513" s="248"/>
      <c r="Y513" s="248"/>
      <c r="Z513" s="248"/>
      <c r="AA513" s="248"/>
      <c r="AB513" s="248"/>
    </row>
    <row r="514" spans="2:28" ht="15.75">
      <c r="B514" s="248"/>
      <c r="C514" s="248"/>
      <c r="D514" s="248"/>
      <c r="E514" s="248"/>
      <c r="F514" s="248"/>
      <c r="G514" s="248"/>
      <c r="H514" s="248"/>
      <c r="I514" s="248"/>
      <c r="J514" s="248"/>
      <c r="K514" s="248"/>
      <c r="L514" s="248"/>
      <c r="M514" s="248"/>
      <c r="N514" s="248"/>
      <c r="O514" s="248"/>
      <c r="P514" s="248"/>
      <c r="Q514" s="248"/>
      <c r="R514" s="248"/>
      <c r="S514" s="248"/>
      <c r="T514" s="248"/>
      <c r="U514" s="248"/>
      <c r="V514" s="248"/>
      <c r="W514" s="248"/>
      <c r="X514" s="248"/>
      <c r="Y514" s="248"/>
      <c r="Z514" s="248"/>
      <c r="AA514" s="248"/>
      <c r="AB514" s="248"/>
    </row>
    <row r="515" spans="2:28" ht="15.75">
      <c r="B515" s="248"/>
      <c r="C515" s="248"/>
      <c r="D515" s="248"/>
      <c r="E515" s="248"/>
      <c r="F515" s="248"/>
      <c r="G515" s="248"/>
      <c r="H515" s="248"/>
      <c r="I515" s="248"/>
      <c r="J515" s="248"/>
      <c r="K515" s="248"/>
      <c r="L515" s="248"/>
      <c r="M515" s="248"/>
      <c r="N515" s="248"/>
      <c r="O515" s="248"/>
      <c r="P515" s="248"/>
      <c r="Q515" s="248"/>
      <c r="R515" s="248"/>
      <c r="S515" s="248"/>
      <c r="T515" s="248"/>
      <c r="U515" s="248"/>
      <c r="V515" s="248"/>
      <c r="W515" s="248"/>
      <c r="X515" s="248"/>
      <c r="Y515" s="248"/>
      <c r="Z515" s="248"/>
      <c r="AA515" s="248"/>
      <c r="AB515" s="248"/>
    </row>
    <row r="516" spans="2:28" ht="15.75">
      <c r="B516" s="248"/>
      <c r="C516" s="248"/>
      <c r="D516" s="248"/>
      <c r="E516" s="248"/>
      <c r="F516" s="248"/>
      <c r="G516" s="248"/>
      <c r="H516" s="248"/>
      <c r="I516" s="248"/>
      <c r="J516" s="248"/>
      <c r="K516" s="248"/>
      <c r="L516" s="248"/>
      <c r="M516" s="248"/>
      <c r="N516" s="248"/>
      <c r="O516" s="248"/>
      <c r="P516" s="248"/>
      <c r="Q516" s="248"/>
      <c r="R516" s="248"/>
      <c r="S516" s="248"/>
      <c r="T516" s="248"/>
      <c r="U516" s="248"/>
      <c r="V516" s="248"/>
      <c r="W516" s="248"/>
      <c r="X516" s="248"/>
      <c r="Y516" s="248"/>
      <c r="Z516" s="248"/>
      <c r="AA516" s="248"/>
      <c r="AB516" s="248"/>
    </row>
    <row r="517" spans="2:28" ht="15.75">
      <c r="B517" s="248"/>
      <c r="C517" s="248"/>
      <c r="D517" s="248"/>
      <c r="E517" s="248"/>
      <c r="F517" s="248"/>
      <c r="G517" s="248"/>
      <c r="H517" s="248"/>
      <c r="I517" s="248"/>
      <c r="J517" s="248"/>
      <c r="K517" s="248"/>
      <c r="L517" s="248"/>
      <c r="M517" s="248"/>
      <c r="N517" s="248"/>
      <c r="O517" s="248"/>
      <c r="P517" s="248"/>
      <c r="Q517" s="248"/>
      <c r="R517" s="248"/>
      <c r="S517" s="248"/>
      <c r="T517" s="248"/>
      <c r="U517" s="248"/>
      <c r="V517" s="248"/>
      <c r="W517" s="248"/>
      <c r="X517" s="248"/>
      <c r="Y517" s="248"/>
      <c r="Z517" s="248"/>
      <c r="AA517" s="248"/>
      <c r="AB517" s="248"/>
    </row>
    <row r="518" spans="2:28" ht="15.75">
      <c r="B518" s="248"/>
      <c r="C518" s="248"/>
      <c r="D518" s="248"/>
      <c r="E518" s="248"/>
      <c r="F518" s="248"/>
      <c r="G518" s="248"/>
      <c r="H518" s="248"/>
      <c r="I518" s="248"/>
      <c r="J518" s="248"/>
      <c r="K518" s="248"/>
      <c r="L518" s="248"/>
      <c r="M518" s="248"/>
      <c r="N518" s="248"/>
      <c r="O518" s="248"/>
      <c r="P518" s="248"/>
      <c r="Q518" s="248"/>
      <c r="R518" s="248"/>
      <c r="S518" s="248"/>
      <c r="T518" s="248"/>
      <c r="U518" s="248"/>
      <c r="V518" s="248"/>
      <c r="W518" s="248"/>
      <c r="X518" s="248"/>
      <c r="Y518" s="248"/>
      <c r="Z518" s="248"/>
      <c r="AA518" s="248"/>
      <c r="AB518" s="248"/>
    </row>
    <row r="519" spans="2:28" ht="15.75">
      <c r="B519" s="248"/>
      <c r="C519" s="248"/>
      <c r="D519" s="248"/>
      <c r="E519" s="248"/>
      <c r="F519" s="248"/>
      <c r="G519" s="248"/>
      <c r="H519" s="248"/>
      <c r="I519" s="248"/>
      <c r="J519" s="248"/>
      <c r="K519" s="248"/>
      <c r="L519" s="248"/>
      <c r="M519" s="248"/>
      <c r="N519" s="248"/>
      <c r="O519" s="248"/>
      <c r="P519" s="248"/>
      <c r="Q519" s="248"/>
      <c r="R519" s="248"/>
      <c r="S519" s="248"/>
      <c r="T519" s="248"/>
      <c r="U519" s="248"/>
      <c r="V519" s="248"/>
      <c r="W519" s="248"/>
      <c r="X519" s="248"/>
      <c r="Y519" s="248"/>
      <c r="Z519" s="248"/>
      <c r="AA519" s="248"/>
      <c r="AB519" s="248"/>
    </row>
    <row r="520" spans="2:28" ht="15.75">
      <c r="B520" s="248"/>
      <c r="C520" s="248"/>
      <c r="D520" s="248"/>
      <c r="E520" s="248"/>
      <c r="F520" s="248"/>
      <c r="G520" s="248"/>
      <c r="H520" s="248"/>
      <c r="I520" s="248"/>
      <c r="J520" s="248"/>
      <c r="K520" s="248"/>
      <c r="L520" s="248"/>
      <c r="M520" s="248"/>
      <c r="N520" s="248"/>
      <c r="O520" s="248"/>
      <c r="P520" s="248"/>
      <c r="Q520" s="248"/>
      <c r="R520" s="248"/>
      <c r="S520" s="248"/>
      <c r="T520" s="248"/>
      <c r="U520" s="248"/>
      <c r="V520" s="248"/>
      <c r="W520" s="248"/>
      <c r="X520" s="248"/>
      <c r="Y520" s="248"/>
      <c r="Z520" s="248"/>
      <c r="AA520" s="248"/>
      <c r="AB520" s="248"/>
    </row>
    <row r="521" spans="2:28" ht="15.75">
      <c r="B521" s="248"/>
      <c r="C521" s="248"/>
      <c r="D521" s="248"/>
      <c r="E521" s="248"/>
      <c r="F521" s="248"/>
      <c r="G521" s="248"/>
      <c r="H521" s="248"/>
      <c r="I521" s="248"/>
      <c r="J521" s="248"/>
      <c r="K521" s="248"/>
      <c r="L521" s="248"/>
      <c r="M521" s="248"/>
      <c r="N521" s="248"/>
      <c r="O521" s="248"/>
      <c r="P521" s="248"/>
      <c r="Q521" s="248"/>
      <c r="R521" s="248"/>
      <c r="S521" s="248"/>
      <c r="T521" s="248"/>
      <c r="U521" s="248"/>
      <c r="V521" s="248"/>
      <c r="W521" s="248"/>
      <c r="X521" s="248"/>
      <c r="Y521" s="248"/>
      <c r="Z521" s="248"/>
      <c r="AA521" s="248"/>
      <c r="AB521" s="248"/>
    </row>
    <row r="522" spans="2:28" ht="15.75">
      <c r="B522" s="248"/>
      <c r="C522" s="248"/>
      <c r="D522" s="248"/>
      <c r="E522" s="248"/>
      <c r="F522" s="248"/>
      <c r="G522" s="248"/>
      <c r="H522" s="248"/>
      <c r="I522" s="248"/>
      <c r="J522" s="248"/>
      <c r="K522" s="248"/>
      <c r="L522" s="248"/>
      <c r="M522" s="248"/>
      <c r="N522" s="248"/>
      <c r="O522" s="248"/>
      <c r="P522" s="248"/>
      <c r="Q522" s="248"/>
      <c r="R522" s="248"/>
      <c r="S522" s="248"/>
      <c r="T522" s="248"/>
      <c r="U522" s="248"/>
      <c r="V522" s="248"/>
      <c r="W522" s="248"/>
      <c r="X522" s="248"/>
      <c r="Y522" s="248"/>
      <c r="Z522" s="248"/>
      <c r="AA522" s="248"/>
      <c r="AB522" s="248"/>
    </row>
    <row r="523" spans="2:28" ht="15.75">
      <c r="B523" s="248"/>
      <c r="C523" s="248"/>
      <c r="D523" s="248"/>
      <c r="E523" s="248"/>
      <c r="F523" s="248"/>
      <c r="G523" s="248"/>
      <c r="H523" s="248"/>
      <c r="I523" s="248"/>
      <c r="J523" s="248"/>
      <c r="K523" s="248"/>
      <c r="L523" s="248"/>
      <c r="M523" s="248"/>
      <c r="N523" s="248"/>
      <c r="O523" s="248"/>
      <c r="P523" s="248"/>
      <c r="Q523" s="248"/>
      <c r="R523" s="248"/>
      <c r="S523" s="248"/>
      <c r="T523" s="248"/>
      <c r="U523" s="248"/>
      <c r="V523" s="248"/>
      <c r="W523" s="248"/>
      <c r="X523" s="248"/>
      <c r="Y523" s="248"/>
      <c r="Z523" s="248"/>
      <c r="AA523" s="248"/>
      <c r="AB523" s="248"/>
    </row>
    <row r="524" spans="2:28" ht="15.75">
      <c r="B524" s="248"/>
      <c r="C524" s="248"/>
      <c r="D524" s="248"/>
      <c r="E524" s="248"/>
      <c r="F524" s="248"/>
      <c r="G524" s="248"/>
      <c r="H524" s="248"/>
      <c r="I524" s="248"/>
      <c r="J524" s="248"/>
      <c r="K524" s="248"/>
      <c r="L524" s="248"/>
      <c r="M524" s="248"/>
      <c r="N524" s="248"/>
      <c r="O524" s="248"/>
      <c r="P524" s="248"/>
      <c r="Q524" s="248"/>
      <c r="R524" s="248"/>
      <c r="S524" s="248"/>
      <c r="T524" s="248"/>
      <c r="U524" s="248"/>
      <c r="V524" s="248"/>
      <c r="W524" s="248"/>
      <c r="X524" s="248"/>
      <c r="Y524" s="248"/>
      <c r="Z524" s="248"/>
      <c r="AA524" s="248"/>
      <c r="AB524" s="248"/>
    </row>
    <row r="525" spans="2:28" ht="15.75">
      <c r="B525" s="248"/>
      <c r="C525" s="248"/>
      <c r="D525" s="248"/>
      <c r="E525" s="248"/>
      <c r="F525" s="248"/>
      <c r="G525" s="248"/>
      <c r="H525" s="248"/>
      <c r="I525" s="248"/>
      <c r="J525" s="248"/>
      <c r="K525" s="248"/>
      <c r="L525" s="248"/>
      <c r="M525" s="248"/>
      <c r="N525" s="248"/>
      <c r="O525" s="248"/>
      <c r="P525" s="248"/>
      <c r="Q525" s="248"/>
      <c r="R525" s="248"/>
      <c r="S525" s="248"/>
      <c r="T525" s="248"/>
      <c r="U525" s="248"/>
      <c r="V525" s="248"/>
      <c r="W525" s="248"/>
      <c r="X525" s="248"/>
      <c r="Y525" s="248"/>
      <c r="Z525" s="248"/>
      <c r="AA525" s="248"/>
      <c r="AB525" s="248"/>
    </row>
    <row r="526" spans="2:28" ht="15.75">
      <c r="B526" s="248"/>
      <c r="C526" s="248"/>
      <c r="D526" s="248"/>
      <c r="E526" s="248"/>
      <c r="F526" s="248"/>
      <c r="G526" s="248"/>
      <c r="H526" s="248"/>
      <c r="I526" s="248"/>
      <c r="J526" s="248"/>
      <c r="K526" s="248"/>
      <c r="L526" s="248"/>
      <c r="M526" s="248"/>
      <c r="N526" s="248"/>
      <c r="O526" s="248"/>
      <c r="P526" s="248"/>
      <c r="Q526" s="248"/>
      <c r="R526" s="248"/>
      <c r="S526" s="248"/>
      <c r="T526" s="248"/>
      <c r="U526" s="248"/>
      <c r="V526" s="248"/>
      <c r="W526" s="248"/>
      <c r="X526" s="248"/>
      <c r="Y526" s="248"/>
      <c r="Z526" s="248"/>
      <c r="AA526" s="248"/>
      <c r="AB526" s="248"/>
    </row>
    <row r="527" spans="2:28" ht="15.75">
      <c r="B527" s="248"/>
      <c r="C527" s="248"/>
      <c r="D527" s="248"/>
      <c r="E527" s="248"/>
      <c r="F527" s="248"/>
      <c r="G527" s="248"/>
      <c r="H527" s="248"/>
      <c r="I527" s="248"/>
      <c r="J527" s="248"/>
      <c r="K527" s="248"/>
      <c r="L527" s="248"/>
      <c r="M527" s="248"/>
      <c r="N527" s="248"/>
      <c r="O527" s="248"/>
      <c r="P527" s="248"/>
      <c r="Q527" s="248"/>
      <c r="R527" s="248"/>
      <c r="S527" s="248"/>
      <c r="T527" s="248"/>
      <c r="U527" s="248"/>
      <c r="V527" s="248"/>
      <c r="W527" s="248"/>
      <c r="X527" s="248"/>
      <c r="Y527" s="248"/>
      <c r="Z527" s="248"/>
      <c r="AA527" s="248"/>
      <c r="AB527" s="248"/>
    </row>
    <row r="528" spans="2:28" ht="15.75">
      <c r="B528" s="248"/>
      <c r="C528" s="248"/>
      <c r="D528" s="248"/>
      <c r="E528" s="248"/>
      <c r="F528" s="248"/>
      <c r="G528" s="248"/>
      <c r="H528" s="248"/>
      <c r="I528" s="248"/>
      <c r="J528" s="248"/>
      <c r="K528" s="248"/>
      <c r="L528" s="248"/>
      <c r="M528" s="248"/>
      <c r="N528" s="248"/>
      <c r="O528" s="248"/>
      <c r="P528" s="248"/>
      <c r="Q528" s="248"/>
      <c r="R528" s="248"/>
      <c r="S528" s="248"/>
      <c r="T528" s="248"/>
      <c r="U528" s="248"/>
      <c r="V528" s="248"/>
      <c r="W528" s="248"/>
      <c r="X528" s="248"/>
      <c r="Y528" s="248"/>
      <c r="Z528" s="248"/>
      <c r="AA528" s="248"/>
      <c r="AB528" s="248"/>
    </row>
    <row r="529" spans="2:28" ht="15.75">
      <c r="B529" s="248"/>
      <c r="C529" s="248"/>
      <c r="D529" s="248"/>
      <c r="E529" s="248"/>
      <c r="F529" s="248"/>
      <c r="G529" s="248"/>
      <c r="H529" s="248"/>
      <c r="I529" s="248"/>
      <c r="J529" s="248"/>
      <c r="K529" s="248"/>
      <c r="L529" s="248"/>
      <c r="M529" s="248"/>
      <c r="N529" s="248"/>
      <c r="O529" s="248"/>
      <c r="P529" s="248"/>
      <c r="Q529" s="248"/>
      <c r="R529" s="248"/>
      <c r="S529" s="248"/>
      <c r="T529" s="248"/>
      <c r="U529" s="248"/>
      <c r="V529" s="248"/>
      <c r="W529" s="248"/>
      <c r="X529" s="248"/>
      <c r="Y529" s="248"/>
      <c r="Z529" s="248"/>
      <c r="AA529" s="248"/>
      <c r="AB529" s="248"/>
    </row>
    <row r="530" spans="2:28" ht="15.75">
      <c r="B530" s="248"/>
      <c r="C530" s="248"/>
      <c r="D530" s="248"/>
      <c r="E530" s="248"/>
      <c r="F530" s="248"/>
      <c r="G530" s="248"/>
      <c r="H530" s="248"/>
      <c r="I530" s="248"/>
      <c r="J530" s="248"/>
      <c r="K530" s="248"/>
      <c r="L530" s="248"/>
      <c r="M530" s="248"/>
      <c r="N530" s="248"/>
      <c r="O530" s="248"/>
      <c r="P530" s="248"/>
      <c r="Q530" s="248"/>
      <c r="R530" s="248"/>
      <c r="S530" s="248"/>
      <c r="T530" s="248"/>
      <c r="U530" s="248"/>
      <c r="V530" s="248"/>
      <c r="W530" s="248"/>
      <c r="X530" s="248"/>
      <c r="Y530" s="248"/>
      <c r="Z530" s="248"/>
      <c r="AA530" s="248"/>
      <c r="AB530" s="248"/>
    </row>
    <row r="531" spans="2:28" ht="15.75">
      <c r="B531" s="248"/>
      <c r="C531" s="248"/>
      <c r="D531" s="248"/>
      <c r="E531" s="248"/>
      <c r="F531" s="248"/>
      <c r="G531" s="248"/>
      <c r="H531" s="248"/>
      <c r="I531" s="248"/>
      <c r="J531" s="248"/>
      <c r="K531" s="248"/>
      <c r="L531" s="248"/>
      <c r="M531" s="248"/>
      <c r="N531" s="248"/>
      <c r="O531" s="248"/>
      <c r="P531" s="248"/>
      <c r="Q531" s="248"/>
      <c r="R531" s="248"/>
      <c r="S531" s="248"/>
      <c r="T531" s="248"/>
      <c r="U531" s="248"/>
      <c r="V531" s="248"/>
      <c r="W531" s="248"/>
      <c r="X531" s="248"/>
      <c r="Y531" s="248"/>
      <c r="Z531" s="248"/>
      <c r="AA531" s="248"/>
      <c r="AB531" s="248"/>
    </row>
    <row r="532" spans="2:28" ht="15.75">
      <c r="B532" s="248"/>
      <c r="C532" s="248"/>
      <c r="D532" s="248"/>
      <c r="E532" s="248"/>
      <c r="F532" s="248"/>
      <c r="G532" s="248"/>
      <c r="H532" s="248"/>
      <c r="I532" s="248"/>
      <c r="J532" s="248"/>
      <c r="K532" s="248"/>
      <c r="L532" s="248"/>
      <c r="M532" s="248"/>
      <c r="N532" s="248"/>
      <c r="O532" s="248"/>
      <c r="P532" s="248"/>
      <c r="Q532" s="248"/>
      <c r="R532" s="248"/>
      <c r="S532" s="248"/>
      <c r="T532" s="248"/>
      <c r="U532" s="248"/>
      <c r="V532" s="248"/>
      <c r="W532" s="248"/>
      <c r="X532" s="248"/>
      <c r="Y532" s="248"/>
      <c r="Z532" s="248"/>
      <c r="AA532" s="248"/>
      <c r="AB532" s="248"/>
    </row>
    <row r="533" spans="2:28" ht="15.75">
      <c r="B533" s="248"/>
      <c r="C533" s="248"/>
      <c r="D533" s="248"/>
      <c r="E533" s="248"/>
      <c r="F533" s="248"/>
      <c r="G533" s="248"/>
      <c r="H533" s="248"/>
      <c r="I533" s="248"/>
      <c r="J533" s="248"/>
      <c r="K533" s="248"/>
      <c r="L533" s="248"/>
      <c r="M533" s="248"/>
      <c r="N533" s="248"/>
      <c r="O533" s="248"/>
      <c r="P533" s="248"/>
      <c r="Q533" s="248"/>
      <c r="R533" s="248"/>
      <c r="S533" s="248"/>
      <c r="T533" s="248"/>
      <c r="U533" s="248"/>
      <c r="V533" s="248"/>
      <c r="W533" s="248"/>
      <c r="X533" s="248"/>
      <c r="Y533" s="248"/>
      <c r="Z533" s="248"/>
      <c r="AA533" s="248"/>
      <c r="AB533" s="248"/>
    </row>
    <row r="534" spans="2:28" ht="15.75">
      <c r="B534" s="248"/>
      <c r="C534" s="248"/>
      <c r="D534" s="248"/>
      <c r="E534" s="248"/>
      <c r="F534" s="248"/>
      <c r="G534" s="248"/>
      <c r="H534" s="248"/>
      <c r="I534" s="248"/>
      <c r="J534" s="248"/>
      <c r="K534" s="248"/>
      <c r="L534" s="248"/>
      <c r="M534" s="248"/>
      <c r="N534" s="248"/>
      <c r="O534" s="248"/>
      <c r="P534" s="248"/>
      <c r="Q534" s="248"/>
      <c r="R534" s="248"/>
      <c r="S534" s="248"/>
      <c r="T534" s="248"/>
      <c r="U534" s="248"/>
      <c r="V534" s="248"/>
      <c r="W534" s="248"/>
      <c r="X534" s="248"/>
      <c r="Y534" s="248"/>
      <c r="Z534" s="248"/>
      <c r="AA534" s="248"/>
      <c r="AB534" s="248"/>
    </row>
    <row r="535" spans="2:28" ht="15.75">
      <c r="B535" s="248"/>
      <c r="C535" s="248"/>
      <c r="D535" s="248"/>
      <c r="E535" s="248"/>
      <c r="F535" s="248"/>
      <c r="G535" s="248"/>
      <c r="H535" s="248"/>
      <c r="I535" s="248"/>
      <c r="J535" s="248"/>
      <c r="K535" s="248"/>
      <c r="L535" s="248"/>
      <c r="M535" s="248"/>
      <c r="N535" s="248"/>
      <c r="O535" s="248"/>
      <c r="P535" s="248"/>
      <c r="Q535" s="248"/>
      <c r="R535" s="248"/>
      <c r="S535" s="248"/>
      <c r="T535" s="248"/>
      <c r="U535" s="248"/>
      <c r="V535" s="248"/>
      <c r="W535" s="248"/>
      <c r="X535" s="248"/>
      <c r="Y535" s="248"/>
      <c r="Z535" s="248"/>
      <c r="AA535" s="248"/>
      <c r="AB535" s="248"/>
    </row>
    <row r="536" spans="2:28" ht="15.75">
      <c r="B536" s="248"/>
      <c r="C536" s="248"/>
      <c r="D536" s="248"/>
      <c r="E536" s="248"/>
      <c r="F536" s="248"/>
      <c r="G536" s="248"/>
      <c r="H536" s="248"/>
      <c r="I536" s="248"/>
      <c r="J536" s="248"/>
      <c r="K536" s="248"/>
      <c r="L536" s="248"/>
      <c r="M536" s="248"/>
      <c r="N536" s="248"/>
      <c r="O536" s="248"/>
      <c r="P536" s="248"/>
      <c r="Q536" s="248"/>
      <c r="R536" s="248"/>
      <c r="S536" s="248"/>
      <c r="T536" s="248"/>
      <c r="U536" s="248"/>
      <c r="V536" s="248"/>
      <c r="W536" s="248"/>
      <c r="X536" s="248"/>
      <c r="Y536" s="248"/>
      <c r="Z536" s="248"/>
      <c r="AA536" s="248"/>
      <c r="AB536" s="248"/>
    </row>
    <row r="537" spans="2:28" ht="15.75">
      <c r="B537" s="248"/>
      <c r="C537" s="248"/>
      <c r="D537" s="248"/>
      <c r="E537" s="248"/>
      <c r="F537" s="248"/>
      <c r="G537" s="248"/>
      <c r="H537" s="248"/>
      <c r="I537" s="248"/>
      <c r="J537" s="248"/>
      <c r="K537" s="248"/>
      <c r="L537" s="248"/>
      <c r="M537" s="248"/>
      <c r="N537" s="248"/>
      <c r="O537" s="248"/>
      <c r="P537" s="248"/>
      <c r="Q537" s="248"/>
      <c r="R537" s="248"/>
      <c r="S537" s="248"/>
      <c r="T537" s="248"/>
      <c r="U537" s="248"/>
      <c r="V537" s="248"/>
      <c r="W537" s="248"/>
      <c r="X537" s="248"/>
      <c r="Y537" s="248"/>
      <c r="Z537" s="248"/>
      <c r="AA537" s="248"/>
      <c r="AB537" s="248"/>
    </row>
    <row r="538" spans="2:28" ht="15.75">
      <c r="B538" s="248"/>
      <c r="C538" s="248"/>
      <c r="D538" s="248"/>
      <c r="E538" s="248"/>
      <c r="F538" s="248"/>
      <c r="G538" s="248"/>
      <c r="H538" s="248"/>
      <c r="I538" s="248"/>
      <c r="J538" s="248"/>
      <c r="K538" s="248"/>
      <c r="L538" s="248"/>
      <c r="M538" s="248"/>
      <c r="N538" s="248"/>
      <c r="O538" s="248"/>
      <c r="P538" s="248"/>
      <c r="Q538" s="248"/>
      <c r="R538" s="248"/>
      <c r="S538" s="248"/>
      <c r="T538" s="248"/>
      <c r="U538" s="248"/>
      <c r="V538" s="248"/>
      <c r="W538" s="248"/>
      <c r="X538" s="248"/>
      <c r="Y538" s="248"/>
      <c r="Z538" s="248"/>
      <c r="AA538" s="248"/>
      <c r="AB538" s="248"/>
    </row>
    <row r="539" spans="2:28" ht="15.75">
      <c r="B539" s="248"/>
      <c r="C539" s="248"/>
      <c r="D539" s="248"/>
      <c r="E539" s="248"/>
      <c r="F539" s="248"/>
      <c r="G539" s="248"/>
      <c r="H539" s="248"/>
      <c r="I539" s="248"/>
      <c r="J539" s="248"/>
      <c r="K539" s="248"/>
      <c r="L539" s="248"/>
      <c r="M539" s="248"/>
      <c r="N539" s="248"/>
      <c r="O539" s="248"/>
      <c r="P539" s="248"/>
      <c r="Q539" s="248"/>
      <c r="R539" s="248"/>
      <c r="S539" s="248"/>
      <c r="T539" s="248"/>
      <c r="U539" s="248"/>
      <c r="V539" s="248"/>
      <c r="W539" s="248"/>
      <c r="X539" s="248"/>
      <c r="Y539" s="248"/>
      <c r="Z539" s="248"/>
      <c r="AA539" s="248"/>
      <c r="AB539" s="248"/>
    </row>
    <row r="540" spans="2:28" ht="15.75">
      <c r="B540" s="248"/>
      <c r="C540" s="248"/>
      <c r="D540" s="248"/>
      <c r="E540" s="248"/>
      <c r="F540" s="248"/>
      <c r="G540" s="248"/>
      <c r="H540" s="248"/>
      <c r="I540" s="248"/>
      <c r="J540" s="248"/>
      <c r="K540" s="248"/>
      <c r="L540" s="248"/>
      <c r="M540" s="248"/>
      <c r="N540" s="248"/>
      <c r="O540" s="248"/>
      <c r="P540" s="248"/>
      <c r="Q540" s="248"/>
      <c r="R540" s="248"/>
      <c r="S540" s="248"/>
      <c r="T540" s="248"/>
      <c r="U540" s="248"/>
      <c r="V540" s="248"/>
      <c r="W540" s="248"/>
      <c r="X540" s="248"/>
      <c r="Y540" s="248"/>
      <c r="Z540" s="248"/>
      <c r="AA540" s="248"/>
      <c r="AB540" s="248"/>
    </row>
    <row r="541" spans="2:28" ht="15.75">
      <c r="B541" s="248"/>
      <c r="C541" s="248"/>
      <c r="D541" s="248"/>
      <c r="E541" s="248"/>
      <c r="F541" s="248"/>
      <c r="G541" s="248"/>
      <c r="H541" s="248"/>
      <c r="I541" s="248"/>
      <c r="J541" s="248"/>
      <c r="K541" s="248"/>
      <c r="L541" s="248"/>
      <c r="M541" s="248"/>
      <c r="N541" s="248"/>
      <c r="O541" s="248"/>
      <c r="P541" s="248"/>
      <c r="Q541" s="248"/>
      <c r="R541" s="248"/>
      <c r="S541" s="248"/>
      <c r="T541" s="248"/>
      <c r="U541" s="248"/>
      <c r="V541" s="248"/>
      <c r="W541" s="248"/>
      <c r="X541" s="248"/>
      <c r="Y541" s="248"/>
      <c r="Z541" s="248"/>
      <c r="AA541" s="248"/>
      <c r="AB541" s="248"/>
    </row>
    <row r="542" spans="2:28" ht="15.75">
      <c r="B542" s="248"/>
      <c r="C542" s="248"/>
      <c r="D542" s="248"/>
      <c r="E542" s="248"/>
      <c r="F542" s="248"/>
      <c r="G542" s="248"/>
      <c r="H542" s="248"/>
      <c r="I542" s="248"/>
      <c r="J542" s="248"/>
      <c r="K542" s="248"/>
      <c r="L542" s="248"/>
      <c r="M542" s="248"/>
      <c r="N542" s="248"/>
      <c r="O542" s="248"/>
      <c r="P542" s="248"/>
      <c r="Q542" s="248"/>
      <c r="R542" s="248"/>
      <c r="S542" s="248"/>
      <c r="T542" s="248"/>
      <c r="U542" s="248"/>
      <c r="V542" s="248"/>
      <c r="W542" s="248"/>
      <c r="X542" s="248"/>
      <c r="Y542" s="248"/>
      <c r="Z542" s="248"/>
      <c r="AA542" s="248"/>
      <c r="AB542" s="248"/>
    </row>
    <row r="543" spans="2:28" ht="15.75">
      <c r="B543" s="248"/>
      <c r="C543" s="248"/>
      <c r="D543" s="248"/>
      <c r="E543" s="248"/>
      <c r="F543" s="248"/>
      <c r="G543" s="248"/>
      <c r="H543" s="248"/>
      <c r="I543" s="248"/>
      <c r="J543" s="248"/>
      <c r="K543" s="248"/>
      <c r="L543" s="248"/>
      <c r="M543" s="248"/>
      <c r="N543" s="248"/>
      <c r="O543" s="248"/>
      <c r="P543" s="248"/>
      <c r="Q543" s="248"/>
      <c r="R543" s="248"/>
      <c r="S543" s="248"/>
      <c r="T543" s="248"/>
      <c r="U543" s="248"/>
      <c r="V543" s="248"/>
      <c r="W543" s="248"/>
      <c r="X543" s="248"/>
      <c r="Y543" s="248"/>
      <c r="Z543" s="248"/>
      <c r="AA543" s="248"/>
      <c r="AB543" s="248"/>
    </row>
    <row r="544" spans="2:28" ht="15.75">
      <c r="B544" s="248"/>
      <c r="C544" s="248"/>
      <c r="D544" s="248"/>
      <c r="E544" s="248"/>
      <c r="F544" s="248"/>
      <c r="G544" s="248"/>
      <c r="H544" s="248"/>
      <c r="I544" s="248"/>
      <c r="J544" s="248"/>
      <c r="K544" s="248"/>
      <c r="L544" s="248"/>
      <c r="M544" s="248"/>
      <c r="N544" s="248"/>
      <c r="O544" s="248"/>
      <c r="P544" s="248"/>
      <c r="Q544" s="248"/>
      <c r="R544" s="248"/>
      <c r="S544" s="248"/>
      <c r="T544" s="248"/>
      <c r="U544" s="248"/>
      <c r="V544" s="248"/>
      <c r="W544" s="248"/>
      <c r="X544" s="248"/>
      <c r="Y544" s="248"/>
      <c r="Z544" s="248"/>
      <c r="AA544" s="248"/>
      <c r="AB544" s="248"/>
    </row>
    <row r="545" spans="2:28" ht="15.75">
      <c r="B545" s="248"/>
      <c r="C545" s="248"/>
      <c r="D545" s="248"/>
      <c r="E545" s="248"/>
      <c r="F545" s="248"/>
      <c r="G545" s="248"/>
      <c r="H545" s="248"/>
      <c r="I545" s="248"/>
      <c r="J545" s="248"/>
      <c r="K545" s="248"/>
      <c r="L545" s="248"/>
      <c r="M545" s="248"/>
      <c r="N545" s="248"/>
      <c r="O545" s="248"/>
      <c r="P545" s="248"/>
      <c r="Q545" s="248"/>
      <c r="R545" s="248"/>
      <c r="S545" s="248"/>
      <c r="T545" s="248"/>
      <c r="U545" s="248"/>
      <c r="V545" s="248"/>
      <c r="W545" s="248"/>
      <c r="X545" s="248"/>
      <c r="Y545" s="248"/>
      <c r="Z545" s="248"/>
      <c r="AA545" s="248"/>
      <c r="AB545" s="248"/>
    </row>
    <row r="546" spans="2:28" ht="15.75">
      <c r="B546" s="248"/>
      <c r="C546" s="248"/>
      <c r="D546" s="248"/>
      <c r="E546" s="248"/>
      <c r="F546" s="248"/>
      <c r="G546" s="248"/>
      <c r="H546" s="248"/>
      <c r="I546" s="248"/>
      <c r="J546" s="248"/>
      <c r="K546" s="248"/>
      <c r="L546" s="248"/>
      <c r="M546" s="248"/>
      <c r="N546" s="248"/>
      <c r="O546" s="248"/>
      <c r="P546" s="248"/>
      <c r="Q546" s="248"/>
      <c r="R546" s="248"/>
      <c r="S546" s="248"/>
      <c r="T546" s="248"/>
      <c r="U546" s="248"/>
      <c r="V546" s="248"/>
      <c r="W546" s="248"/>
      <c r="X546" s="248"/>
      <c r="Y546" s="248"/>
      <c r="Z546" s="248"/>
      <c r="AA546" s="248"/>
      <c r="AB546" s="248"/>
    </row>
    <row r="547" spans="2:28" ht="15.75">
      <c r="B547" s="248"/>
      <c r="C547" s="248"/>
      <c r="D547" s="248"/>
      <c r="E547" s="248"/>
      <c r="F547" s="248"/>
      <c r="G547" s="248"/>
      <c r="H547" s="248"/>
      <c r="I547" s="248"/>
      <c r="J547" s="248"/>
      <c r="K547" s="248"/>
      <c r="L547" s="248"/>
      <c r="M547" s="248"/>
      <c r="N547" s="248"/>
      <c r="O547" s="248"/>
      <c r="P547" s="248"/>
      <c r="Q547" s="248"/>
      <c r="R547" s="248"/>
      <c r="S547" s="248"/>
      <c r="T547" s="248"/>
      <c r="U547" s="248"/>
      <c r="V547" s="248"/>
      <c r="W547" s="248"/>
      <c r="X547" s="248"/>
      <c r="Y547" s="248"/>
      <c r="Z547" s="248"/>
      <c r="AA547" s="248"/>
      <c r="AB547" s="248"/>
    </row>
    <row r="548" spans="2:28" ht="15.75">
      <c r="B548" s="248"/>
      <c r="C548" s="248"/>
      <c r="D548" s="248"/>
      <c r="E548" s="248"/>
      <c r="F548" s="248"/>
      <c r="G548" s="248"/>
      <c r="H548" s="248"/>
      <c r="I548" s="248"/>
      <c r="J548" s="248"/>
      <c r="K548" s="248"/>
      <c r="L548" s="248"/>
      <c r="M548" s="248"/>
      <c r="N548" s="248"/>
      <c r="O548" s="248"/>
      <c r="P548" s="248"/>
      <c r="Q548" s="248"/>
      <c r="R548" s="248"/>
      <c r="S548" s="248"/>
      <c r="T548" s="248"/>
      <c r="U548" s="248"/>
      <c r="V548" s="248"/>
      <c r="W548" s="248"/>
      <c r="X548" s="248"/>
      <c r="Y548" s="248"/>
      <c r="Z548" s="248"/>
      <c r="AA548" s="248"/>
      <c r="AB548" s="248"/>
    </row>
    <row r="549" spans="2:28" ht="15.75">
      <c r="B549" s="248"/>
      <c r="C549" s="248"/>
      <c r="D549" s="248"/>
      <c r="E549" s="248"/>
      <c r="F549" s="248"/>
      <c r="G549" s="248"/>
      <c r="H549" s="248"/>
      <c r="I549" s="248"/>
      <c r="J549" s="248"/>
      <c r="K549" s="248"/>
      <c r="L549" s="248"/>
      <c r="M549" s="248"/>
      <c r="N549" s="248"/>
      <c r="O549" s="248"/>
      <c r="P549" s="248"/>
      <c r="Q549" s="248"/>
      <c r="R549" s="248"/>
      <c r="S549" s="248"/>
      <c r="T549" s="248"/>
      <c r="U549" s="248"/>
      <c r="V549" s="248"/>
      <c r="W549" s="248"/>
      <c r="X549" s="248"/>
      <c r="Y549" s="248"/>
      <c r="Z549" s="248"/>
      <c r="AA549" s="248"/>
      <c r="AB549" s="248"/>
    </row>
    <row r="550" spans="2:28" ht="15.75">
      <c r="B550" s="248"/>
      <c r="C550" s="248"/>
      <c r="D550" s="248"/>
      <c r="E550" s="248"/>
      <c r="F550" s="248"/>
      <c r="G550" s="248"/>
      <c r="H550" s="248"/>
      <c r="I550" s="248"/>
      <c r="J550" s="248"/>
      <c r="K550" s="248"/>
      <c r="L550" s="248"/>
      <c r="M550" s="248"/>
      <c r="N550" s="248"/>
      <c r="O550" s="248"/>
      <c r="P550" s="248"/>
      <c r="Q550" s="248"/>
      <c r="R550" s="248"/>
      <c r="S550" s="248"/>
      <c r="T550" s="248"/>
      <c r="U550" s="248"/>
      <c r="V550" s="248"/>
      <c r="W550" s="248"/>
      <c r="X550" s="248"/>
      <c r="Y550" s="248"/>
      <c r="Z550" s="248"/>
      <c r="AA550" s="248"/>
      <c r="AB550" s="248"/>
    </row>
    <row r="551" spans="2:28" ht="15.75">
      <c r="B551" s="248"/>
      <c r="C551" s="248"/>
      <c r="D551" s="248"/>
      <c r="E551" s="248"/>
      <c r="F551" s="248"/>
      <c r="G551" s="248"/>
      <c r="H551" s="248"/>
      <c r="I551" s="248"/>
      <c r="J551" s="248"/>
      <c r="K551" s="248"/>
      <c r="L551" s="248"/>
      <c r="M551" s="248"/>
      <c r="N551" s="248"/>
      <c r="O551" s="248"/>
      <c r="P551" s="248"/>
      <c r="Q551" s="248"/>
      <c r="R551" s="248"/>
      <c r="S551" s="248"/>
      <c r="T551" s="248"/>
      <c r="U551" s="248"/>
      <c r="V551" s="248"/>
      <c r="W551" s="248"/>
      <c r="X551" s="248"/>
      <c r="Y551" s="248"/>
      <c r="Z551" s="248"/>
      <c r="AA551" s="248"/>
      <c r="AB551" s="248"/>
    </row>
    <row r="552" spans="2:28" ht="15.75">
      <c r="B552" s="248"/>
      <c r="C552" s="248"/>
      <c r="D552" s="248"/>
      <c r="E552" s="248"/>
      <c r="F552" s="248"/>
      <c r="G552" s="248"/>
      <c r="H552" s="248"/>
      <c r="I552" s="248"/>
      <c r="J552" s="248"/>
      <c r="K552" s="248"/>
      <c r="L552" s="248"/>
      <c r="M552" s="248"/>
      <c r="N552" s="248"/>
      <c r="O552" s="248"/>
      <c r="P552" s="248"/>
      <c r="Q552" s="248"/>
      <c r="R552" s="248"/>
      <c r="S552" s="248"/>
      <c r="T552" s="248"/>
      <c r="U552" s="248"/>
      <c r="V552" s="248"/>
      <c r="W552" s="248"/>
      <c r="X552" s="248"/>
      <c r="Y552" s="248"/>
      <c r="Z552" s="248"/>
      <c r="AA552" s="248"/>
      <c r="AB552" s="248"/>
    </row>
    <row r="553" spans="2:28" ht="15.75">
      <c r="B553" s="248"/>
      <c r="C553" s="248"/>
      <c r="D553" s="248"/>
      <c r="E553" s="248"/>
      <c r="F553" s="248"/>
      <c r="G553" s="248"/>
      <c r="H553" s="248"/>
      <c r="I553" s="248"/>
      <c r="J553" s="248"/>
      <c r="K553" s="248"/>
      <c r="L553" s="248"/>
      <c r="M553" s="248"/>
      <c r="N553" s="248"/>
      <c r="O553" s="248"/>
      <c r="P553" s="248"/>
      <c r="Q553" s="248"/>
      <c r="R553" s="248"/>
      <c r="S553" s="248"/>
      <c r="T553" s="248"/>
      <c r="U553" s="248"/>
      <c r="V553" s="248"/>
      <c r="W553" s="248"/>
      <c r="X553" s="248"/>
      <c r="Y553" s="248"/>
      <c r="Z553" s="248"/>
      <c r="AA553" s="248"/>
      <c r="AB553" s="248"/>
    </row>
    <row r="554" spans="2:28" ht="15.75">
      <c r="B554" s="248"/>
      <c r="C554" s="248"/>
      <c r="D554" s="248"/>
      <c r="E554" s="248"/>
      <c r="F554" s="248"/>
      <c r="G554" s="248"/>
      <c r="H554" s="248"/>
      <c r="I554" s="248"/>
      <c r="J554" s="248"/>
      <c r="K554" s="248"/>
      <c r="L554" s="248"/>
      <c r="M554" s="248"/>
      <c r="N554" s="248"/>
      <c r="O554" s="248"/>
      <c r="P554" s="248"/>
      <c r="Q554" s="248"/>
      <c r="R554" s="248"/>
      <c r="S554" s="248"/>
      <c r="T554" s="248"/>
      <c r="U554" s="248"/>
      <c r="V554" s="248"/>
      <c r="W554" s="248"/>
      <c r="X554" s="248"/>
      <c r="Y554" s="248"/>
      <c r="Z554" s="248"/>
      <c r="AA554" s="248"/>
      <c r="AB554" s="248"/>
    </row>
    <row r="555" spans="2:28" ht="15.75">
      <c r="B555" s="248"/>
      <c r="C555" s="248"/>
      <c r="D555" s="248"/>
      <c r="E555" s="248"/>
      <c r="F555" s="248"/>
      <c r="G555" s="248"/>
      <c r="H555" s="248"/>
      <c r="I555" s="248"/>
      <c r="J555" s="248"/>
      <c r="K555" s="248"/>
      <c r="L555" s="248"/>
      <c r="M555" s="248"/>
      <c r="N555" s="248"/>
      <c r="O555" s="248"/>
      <c r="P555" s="248"/>
      <c r="Q555" s="248"/>
      <c r="R555" s="248"/>
      <c r="S555" s="248"/>
      <c r="T555" s="248"/>
      <c r="U555" s="248"/>
      <c r="V555" s="248"/>
      <c r="W555" s="248"/>
      <c r="X555" s="248"/>
      <c r="Y555" s="248"/>
      <c r="Z555" s="248"/>
      <c r="AA555" s="248"/>
      <c r="AB555" s="248"/>
    </row>
    <row r="556" spans="2:28" ht="15.75">
      <c r="B556" s="248"/>
      <c r="C556" s="248"/>
      <c r="D556" s="248"/>
      <c r="E556" s="248"/>
      <c r="F556" s="248"/>
      <c r="G556" s="248"/>
      <c r="H556" s="248"/>
      <c r="I556" s="248"/>
      <c r="J556" s="248"/>
      <c r="K556" s="248"/>
      <c r="L556" s="248"/>
      <c r="M556" s="248"/>
      <c r="N556" s="248"/>
      <c r="O556" s="248"/>
      <c r="P556" s="248"/>
      <c r="Q556" s="248"/>
      <c r="R556" s="248"/>
      <c r="S556" s="248"/>
      <c r="T556" s="248"/>
      <c r="U556" s="248"/>
      <c r="V556" s="248"/>
      <c r="W556" s="248"/>
      <c r="X556" s="248"/>
      <c r="Y556" s="248"/>
      <c r="Z556" s="248"/>
      <c r="AA556" s="248"/>
      <c r="AB556" s="248"/>
    </row>
    <row r="557" spans="2:28" ht="15.75">
      <c r="B557" s="248"/>
      <c r="C557" s="248"/>
      <c r="D557" s="248"/>
      <c r="E557" s="248"/>
      <c r="F557" s="248"/>
      <c r="G557" s="248"/>
      <c r="H557" s="248"/>
      <c r="I557" s="248"/>
      <c r="J557" s="248"/>
      <c r="K557" s="248"/>
      <c r="L557" s="248"/>
      <c r="M557" s="248"/>
      <c r="N557" s="248"/>
      <c r="O557" s="248"/>
      <c r="P557" s="248"/>
      <c r="Q557" s="248"/>
      <c r="R557" s="248"/>
      <c r="S557" s="248"/>
      <c r="T557" s="248"/>
      <c r="U557" s="248"/>
      <c r="V557" s="248"/>
      <c r="W557" s="248"/>
      <c r="X557" s="248"/>
      <c r="Y557" s="248"/>
      <c r="Z557" s="248"/>
      <c r="AA557" s="248"/>
      <c r="AB557" s="248"/>
    </row>
    <row r="558" spans="2:28" ht="15.75">
      <c r="B558" s="248"/>
      <c r="C558" s="248"/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8"/>
      <c r="P558" s="248"/>
      <c r="Q558" s="248"/>
      <c r="R558" s="248"/>
      <c r="S558" s="248"/>
      <c r="T558" s="248"/>
      <c r="U558" s="248"/>
      <c r="V558" s="248"/>
      <c r="W558" s="248"/>
      <c r="X558" s="248"/>
      <c r="Y558" s="248"/>
      <c r="Z558" s="248"/>
      <c r="AA558" s="248"/>
      <c r="AB558" s="248"/>
    </row>
    <row r="559" spans="2:28" ht="15.75">
      <c r="B559" s="248"/>
      <c r="C559" s="248"/>
      <c r="D559" s="248"/>
      <c r="E559" s="248"/>
      <c r="F559" s="248"/>
      <c r="G559" s="248"/>
      <c r="H559" s="248"/>
      <c r="I559" s="248"/>
      <c r="J559" s="248"/>
      <c r="K559" s="248"/>
      <c r="L559" s="248"/>
      <c r="M559" s="248"/>
      <c r="N559" s="248"/>
      <c r="O559" s="248"/>
      <c r="P559" s="248"/>
      <c r="Q559" s="248"/>
      <c r="R559" s="248"/>
      <c r="S559" s="248"/>
      <c r="T559" s="248"/>
      <c r="U559" s="248"/>
      <c r="V559" s="248"/>
      <c r="W559" s="248"/>
      <c r="X559" s="248"/>
      <c r="Y559" s="248"/>
      <c r="Z559" s="248"/>
      <c r="AA559" s="248"/>
      <c r="AB559" s="248"/>
    </row>
    <row r="560" spans="2:28" ht="15.75">
      <c r="B560" s="248"/>
      <c r="C560" s="248"/>
      <c r="D560" s="248"/>
      <c r="E560" s="248"/>
      <c r="F560" s="248"/>
      <c r="G560" s="248"/>
      <c r="H560" s="248"/>
      <c r="I560" s="248"/>
      <c r="J560" s="248"/>
      <c r="K560" s="248"/>
      <c r="L560" s="248"/>
      <c r="M560" s="248"/>
      <c r="N560" s="248"/>
      <c r="O560" s="248"/>
      <c r="P560" s="248"/>
      <c r="Q560" s="248"/>
      <c r="R560" s="248"/>
      <c r="S560" s="248"/>
      <c r="T560" s="248"/>
      <c r="U560" s="248"/>
      <c r="V560" s="248"/>
      <c r="W560" s="248"/>
      <c r="X560" s="248"/>
      <c r="Y560" s="248"/>
      <c r="Z560" s="248"/>
      <c r="AA560" s="248"/>
      <c r="AB560" s="248"/>
    </row>
    <row r="561" spans="2:28" ht="15.75">
      <c r="B561" s="248"/>
      <c r="C561" s="248"/>
      <c r="D561" s="248"/>
      <c r="E561" s="248"/>
      <c r="F561" s="248"/>
      <c r="G561" s="248"/>
      <c r="H561" s="248"/>
      <c r="I561" s="248"/>
      <c r="J561" s="248"/>
      <c r="K561" s="248"/>
      <c r="L561" s="248"/>
      <c r="M561" s="248"/>
      <c r="N561" s="248"/>
      <c r="O561" s="248"/>
      <c r="P561" s="248"/>
      <c r="Q561" s="248"/>
      <c r="R561" s="248"/>
      <c r="S561" s="248"/>
      <c r="T561" s="248"/>
      <c r="U561" s="248"/>
      <c r="V561" s="248"/>
      <c r="W561" s="248"/>
      <c r="X561" s="248"/>
      <c r="Y561" s="248"/>
      <c r="Z561" s="248"/>
      <c r="AA561" s="248"/>
      <c r="AB561" s="248"/>
    </row>
    <row r="562" spans="2:28" ht="15.75">
      <c r="B562" s="248"/>
      <c r="C562" s="248"/>
      <c r="D562" s="248"/>
      <c r="E562" s="248"/>
      <c r="F562" s="248"/>
      <c r="G562" s="248"/>
      <c r="H562" s="248"/>
      <c r="I562" s="248"/>
      <c r="J562" s="248"/>
      <c r="K562" s="248"/>
      <c r="L562" s="248"/>
      <c r="M562" s="248"/>
      <c r="N562" s="248"/>
      <c r="O562" s="248"/>
      <c r="P562" s="248"/>
      <c r="Q562" s="248"/>
      <c r="R562" s="248"/>
      <c r="S562" s="248"/>
      <c r="T562" s="248"/>
      <c r="U562" s="248"/>
      <c r="V562" s="248"/>
      <c r="W562" s="248"/>
      <c r="X562" s="248"/>
      <c r="Y562" s="248"/>
      <c r="Z562" s="248"/>
      <c r="AA562" s="248"/>
      <c r="AB562" s="248"/>
    </row>
    <row r="563" spans="2:28" ht="15.75">
      <c r="B563" s="248"/>
      <c r="C563" s="248"/>
      <c r="D563" s="248"/>
      <c r="E563" s="248"/>
      <c r="F563" s="248"/>
      <c r="G563" s="248"/>
      <c r="H563" s="248"/>
      <c r="I563" s="248"/>
      <c r="J563" s="248"/>
      <c r="K563" s="248"/>
      <c r="L563" s="248"/>
      <c r="M563" s="248"/>
      <c r="N563" s="248"/>
      <c r="O563" s="248"/>
      <c r="P563" s="248"/>
      <c r="Q563" s="248"/>
      <c r="R563" s="248"/>
      <c r="S563" s="248"/>
      <c r="T563" s="248"/>
      <c r="U563" s="248"/>
      <c r="V563" s="248"/>
      <c r="W563" s="248"/>
      <c r="X563" s="248"/>
      <c r="Y563" s="248"/>
      <c r="Z563" s="248"/>
      <c r="AA563" s="248"/>
      <c r="AB563" s="248"/>
    </row>
    <row r="564" spans="2:28" ht="15.75">
      <c r="B564" s="248"/>
      <c r="C564" s="248"/>
      <c r="D564" s="248"/>
      <c r="E564" s="248"/>
      <c r="F564" s="248"/>
      <c r="G564" s="248"/>
      <c r="H564" s="248"/>
      <c r="I564" s="248"/>
      <c r="J564" s="248"/>
      <c r="K564" s="248"/>
      <c r="L564" s="248"/>
      <c r="M564" s="248"/>
      <c r="N564" s="248"/>
      <c r="O564" s="248"/>
      <c r="P564" s="248"/>
      <c r="Q564" s="248"/>
      <c r="R564" s="248"/>
      <c r="S564" s="248"/>
      <c r="T564" s="248"/>
      <c r="U564" s="248"/>
      <c r="V564" s="248"/>
      <c r="W564" s="248"/>
      <c r="X564" s="248"/>
      <c r="Y564" s="248"/>
      <c r="Z564" s="248"/>
      <c r="AA564" s="248"/>
      <c r="AB564" s="248"/>
    </row>
    <row r="565" spans="2:28" ht="15.75">
      <c r="B565" s="248"/>
      <c r="C565" s="248"/>
      <c r="D565" s="248"/>
      <c r="E565" s="248"/>
      <c r="F565" s="248"/>
      <c r="G565" s="248"/>
      <c r="H565" s="248"/>
      <c r="I565" s="248"/>
      <c r="J565" s="248"/>
      <c r="K565" s="248"/>
      <c r="L565" s="248"/>
      <c r="M565" s="248"/>
      <c r="N565" s="248"/>
      <c r="O565" s="248"/>
      <c r="P565" s="248"/>
      <c r="Q565" s="248"/>
      <c r="R565" s="248"/>
      <c r="S565" s="248"/>
      <c r="T565" s="248"/>
      <c r="U565" s="248"/>
      <c r="V565" s="248"/>
      <c r="W565" s="248"/>
      <c r="X565" s="248"/>
      <c r="Y565" s="248"/>
      <c r="Z565" s="248"/>
      <c r="AA565" s="248"/>
      <c r="AB565" s="248"/>
    </row>
    <row r="566" spans="2:28" ht="15.75">
      <c r="B566" s="248"/>
      <c r="C566" s="248"/>
      <c r="D566" s="248"/>
      <c r="E566" s="248"/>
      <c r="F566" s="248"/>
      <c r="G566" s="248"/>
      <c r="H566" s="248"/>
      <c r="I566" s="248"/>
      <c r="J566" s="248"/>
      <c r="K566" s="248"/>
      <c r="L566" s="248"/>
      <c r="M566" s="248"/>
      <c r="N566" s="248"/>
      <c r="O566" s="248"/>
      <c r="P566" s="248"/>
      <c r="Q566" s="248"/>
      <c r="R566" s="248"/>
      <c r="S566" s="248"/>
      <c r="T566" s="248"/>
      <c r="U566" s="248"/>
      <c r="V566" s="248"/>
      <c r="W566" s="248"/>
      <c r="X566" s="248"/>
      <c r="Y566" s="248"/>
      <c r="Z566" s="248"/>
      <c r="AA566" s="248"/>
      <c r="AB566" s="248"/>
    </row>
    <row r="567" spans="2:28" ht="15.75">
      <c r="B567" s="248"/>
      <c r="C567" s="248"/>
      <c r="D567" s="248"/>
      <c r="E567" s="248"/>
      <c r="F567" s="248"/>
      <c r="G567" s="248"/>
      <c r="H567" s="248"/>
      <c r="I567" s="248"/>
      <c r="J567" s="248"/>
      <c r="K567" s="248"/>
      <c r="L567" s="248"/>
      <c r="M567" s="248"/>
      <c r="N567" s="248"/>
      <c r="O567" s="248"/>
      <c r="P567" s="248"/>
      <c r="Q567" s="248"/>
      <c r="R567" s="248"/>
      <c r="S567" s="248"/>
      <c r="T567" s="248"/>
      <c r="U567" s="248"/>
      <c r="V567" s="248"/>
      <c r="W567" s="248"/>
      <c r="X567" s="248"/>
      <c r="Y567" s="248"/>
      <c r="Z567" s="248"/>
      <c r="AA567" s="248"/>
      <c r="AB567" s="248"/>
    </row>
    <row r="568" spans="2:28" ht="15.75">
      <c r="B568" s="248"/>
      <c r="C568" s="248"/>
      <c r="D568" s="248"/>
      <c r="E568" s="248"/>
      <c r="F568" s="248"/>
      <c r="G568" s="248"/>
      <c r="H568" s="248"/>
      <c r="I568" s="248"/>
      <c r="J568" s="248"/>
      <c r="K568" s="248"/>
      <c r="L568" s="248"/>
      <c r="M568" s="248"/>
      <c r="N568" s="248"/>
      <c r="O568" s="248"/>
      <c r="P568" s="248"/>
      <c r="Q568" s="248"/>
      <c r="R568" s="248"/>
      <c r="S568" s="248"/>
      <c r="T568" s="248"/>
      <c r="U568" s="248"/>
      <c r="V568" s="248"/>
      <c r="W568" s="248"/>
      <c r="X568" s="248"/>
      <c r="Y568" s="248"/>
      <c r="Z568" s="248"/>
      <c r="AA568" s="248"/>
      <c r="AB568" s="248"/>
    </row>
    <row r="569" spans="2:28" ht="15.75">
      <c r="B569" s="248"/>
      <c r="C569" s="248"/>
      <c r="D569" s="248"/>
      <c r="E569" s="248"/>
      <c r="F569" s="248"/>
      <c r="G569" s="248"/>
      <c r="H569" s="248"/>
      <c r="I569" s="248"/>
      <c r="J569" s="248"/>
      <c r="K569" s="248"/>
      <c r="L569" s="248"/>
      <c r="M569" s="248"/>
      <c r="N569" s="248"/>
      <c r="O569" s="248"/>
      <c r="P569" s="248"/>
      <c r="Q569" s="248"/>
      <c r="R569" s="248"/>
      <c r="S569" s="248"/>
      <c r="T569" s="248"/>
      <c r="U569" s="248"/>
      <c r="V569" s="248"/>
      <c r="W569" s="248"/>
      <c r="X569" s="248"/>
      <c r="Y569" s="248"/>
      <c r="Z569" s="248"/>
      <c r="AA569" s="248"/>
      <c r="AB569" s="248"/>
    </row>
    <row r="570" spans="2:28" ht="15.75">
      <c r="B570" s="248"/>
      <c r="C570" s="248"/>
      <c r="D570" s="248"/>
      <c r="E570" s="248"/>
      <c r="F570" s="248"/>
      <c r="G570" s="248"/>
      <c r="H570" s="248"/>
      <c r="I570" s="248"/>
      <c r="J570" s="248"/>
      <c r="K570" s="248"/>
      <c r="L570" s="248"/>
      <c r="M570" s="248"/>
      <c r="N570" s="248"/>
      <c r="O570" s="248"/>
      <c r="P570" s="248"/>
      <c r="Q570" s="248"/>
      <c r="R570" s="248"/>
      <c r="S570" s="248"/>
      <c r="T570" s="248"/>
      <c r="U570" s="248"/>
      <c r="V570" s="248"/>
      <c r="W570" s="248"/>
      <c r="X570" s="248"/>
      <c r="Y570" s="248"/>
      <c r="Z570" s="248"/>
      <c r="AA570" s="248"/>
      <c r="AB570" s="248"/>
    </row>
    <row r="571" spans="2:28" ht="15.75">
      <c r="B571" s="248"/>
      <c r="C571" s="248"/>
      <c r="D571" s="248"/>
      <c r="E571" s="248"/>
      <c r="F571" s="248"/>
      <c r="G571" s="248"/>
      <c r="H571" s="248"/>
      <c r="I571" s="248"/>
      <c r="J571" s="248"/>
      <c r="K571" s="248"/>
      <c r="L571" s="248"/>
      <c r="M571" s="248"/>
      <c r="N571" s="248"/>
      <c r="O571" s="248"/>
      <c r="P571" s="248"/>
      <c r="Q571" s="248"/>
      <c r="R571" s="248"/>
      <c r="S571" s="248"/>
      <c r="T571" s="248"/>
      <c r="U571" s="248"/>
      <c r="V571" s="248"/>
      <c r="W571" s="248"/>
      <c r="X571" s="248"/>
      <c r="Y571" s="248"/>
      <c r="Z571" s="248"/>
      <c r="AA571" s="248"/>
      <c r="AB571" s="248"/>
    </row>
    <row r="572" spans="2:28" ht="15.75">
      <c r="B572" s="248"/>
      <c r="C572" s="248"/>
      <c r="D572" s="248"/>
      <c r="E572" s="248"/>
      <c r="F572" s="248"/>
      <c r="G572" s="248"/>
      <c r="H572" s="248"/>
      <c r="I572" s="248"/>
      <c r="J572" s="248"/>
      <c r="K572" s="248"/>
      <c r="L572" s="248"/>
      <c r="M572" s="248"/>
      <c r="N572" s="248"/>
      <c r="O572" s="248"/>
      <c r="P572" s="248"/>
      <c r="Q572" s="248"/>
      <c r="R572" s="248"/>
      <c r="S572" s="248"/>
      <c r="T572" s="248"/>
      <c r="U572" s="248"/>
      <c r="V572" s="248"/>
      <c r="W572" s="248"/>
      <c r="X572" s="248"/>
      <c r="Y572" s="248"/>
      <c r="Z572" s="248"/>
      <c r="AA572" s="248"/>
      <c r="AB572" s="248"/>
    </row>
    <row r="573" spans="2:28" ht="15.75">
      <c r="B573" s="248"/>
      <c r="C573" s="248"/>
      <c r="D573" s="248"/>
      <c r="E573" s="248"/>
      <c r="F573" s="248"/>
      <c r="G573" s="248"/>
      <c r="H573" s="248"/>
      <c r="I573" s="248"/>
      <c r="J573" s="248"/>
      <c r="K573" s="248"/>
      <c r="L573" s="248"/>
      <c r="M573" s="248"/>
      <c r="N573" s="248"/>
      <c r="O573" s="248"/>
      <c r="P573" s="248"/>
      <c r="Q573" s="248"/>
      <c r="R573" s="248"/>
      <c r="S573" s="248"/>
      <c r="T573" s="248"/>
      <c r="U573" s="248"/>
      <c r="V573" s="248"/>
      <c r="W573" s="248"/>
      <c r="X573" s="248"/>
      <c r="Y573" s="248"/>
      <c r="Z573" s="248"/>
      <c r="AA573" s="248"/>
      <c r="AB573" s="248"/>
    </row>
    <row r="574" spans="2:28" ht="15.75">
      <c r="B574" s="248"/>
      <c r="C574" s="248"/>
      <c r="D574" s="248"/>
      <c r="E574" s="248"/>
      <c r="F574" s="248"/>
      <c r="G574" s="248"/>
      <c r="H574" s="248"/>
      <c r="I574" s="248"/>
      <c r="J574" s="248"/>
      <c r="K574" s="248"/>
      <c r="L574" s="248"/>
      <c r="M574" s="248"/>
      <c r="N574" s="248"/>
      <c r="O574" s="248"/>
      <c r="P574" s="248"/>
      <c r="Q574" s="248"/>
      <c r="R574" s="248"/>
      <c r="S574" s="248"/>
      <c r="T574" s="248"/>
      <c r="U574" s="248"/>
      <c r="V574" s="248"/>
      <c r="W574" s="248"/>
      <c r="X574" s="248"/>
      <c r="Y574" s="248"/>
      <c r="Z574" s="248"/>
      <c r="AA574" s="248"/>
      <c r="AB574" s="248"/>
    </row>
    <row r="575" spans="2:28" ht="15.75">
      <c r="B575" s="248"/>
      <c r="C575" s="248"/>
      <c r="D575" s="248"/>
      <c r="E575" s="248"/>
      <c r="F575" s="248"/>
      <c r="G575" s="248"/>
      <c r="H575" s="248"/>
      <c r="I575" s="248"/>
      <c r="J575" s="248"/>
      <c r="K575" s="248"/>
      <c r="L575" s="248"/>
      <c r="M575" s="248"/>
      <c r="N575" s="248"/>
      <c r="O575" s="248"/>
      <c r="P575" s="248"/>
      <c r="Q575" s="248"/>
      <c r="R575" s="248"/>
      <c r="S575" s="248"/>
      <c r="T575" s="248"/>
      <c r="U575" s="248"/>
      <c r="V575" s="248"/>
      <c r="W575" s="248"/>
      <c r="X575" s="248"/>
      <c r="Y575" s="248"/>
      <c r="Z575" s="248"/>
      <c r="AA575" s="248"/>
      <c r="AB575" s="248"/>
    </row>
    <row r="576" spans="2:28" ht="15.75">
      <c r="B576" s="248"/>
      <c r="C576" s="248"/>
      <c r="D576" s="248"/>
      <c r="E576" s="248"/>
      <c r="F576" s="248"/>
      <c r="G576" s="248"/>
      <c r="H576" s="248"/>
      <c r="I576" s="248"/>
      <c r="J576" s="248"/>
      <c r="K576" s="248"/>
      <c r="L576" s="248"/>
      <c r="M576" s="248"/>
      <c r="N576" s="248"/>
      <c r="O576" s="248"/>
      <c r="P576" s="248"/>
      <c r="Q576" s="248"/>
      <c r="R576" s="248"/>
      <c r="S576" s="248"/>
      <c r="T576" s="248"/>
      <c r="U576" s="248"/>
      <c r="V576" s="248"/>
      <c r="W576" s="248"/>
      <c r="X576" s="248"/>
      <c r="Y576" s="248"/>
      <c r="Z576" s="248"/>
      <c r="AA576" s="248"/>
      <c r="AB576" s="248"/>
    </row>
    <row r="577" spans="2:28" ht="15.75">
      <c r="B577" s="248"/>
      <c r="C577" s="248"/>
      <c r="D577" s="248"/>
      <c r="E577" s="248"/>
      <c r="F577" s="248"/>
      <c r="G577" s="248"/>
      <c r="H577" s="248"/>
      <c r="I577" s="248"/>
      <c r="J577" s="248"/>
      <c r="K577" s="248"/>
      <c r="L577" s="248"/>
      <c r="M577" s="248"/>
      <c r="N577" s="248"/>
      <c r="O577" s="248"/>
      <c r="P577" s="248"/>
      <c r="Q577" s="248"/>
      <c r="R577" s="248"/>
      <c r="S577" s="248"/>
      <c r="T577" s="248"/>
      <c r="U577" s="248"/>
      <c r="V577" s="248"/>
      <c r="W577" s="248"/>
      <c r="X577" s="248"/>
      <c r="Y577" s="248"/>
      <c r="Z577" s="248"/>
      <c r="AA577" s="248"/>
      <c r="AB577" s="248"/>
    </row>
    <row r="578" spans="2:28" ht="15.75">
      <c r="B578" s="248"/>
      <c r="C578" s="248"/>
      <c r="D578" s="248"/>
      <c r="E578" s="248"/>
      <c r="F578" s="248"/>
      <c r="G578" s="248"/>
      <c r="H578" s="248"/>
      <c r="I578" s="248"/>
      <c r="J578" s="248"/>
      <c r="K578" s="248"/>
      <c r="L578" s="248"/>
      <c r="M578" s="248"/>
      <c r="N578" s="248"/>
      <c r="O578" s="248"/>
      <c r="P578" s="248"/>
      <c r="Q578" s="248"/>
      <c r="R578" s="248"/>
      <c r="S578" s="248"/>
      <c r="T578" s="248"/>
      <c r="U578" s="248"/>
      <c r="V578" s="248"/>
      <c r="W578" s="248"/>
      <c r="X578" s="248"/>
      <c r="Y578" s="248"/>
      <c r="Z578" s="248"/>
      <c r="AA578" s="248"/>
      <c r="AB578" s="248"/>
    </row>
    <row r="579" spans="2:28" ht="15.75">
      <c r="B579" s="248"/>
      <c r="C579" s="248"/>
      <c r="D579" s="248"/>
      <c r="E579" s="248"/>
      <c r="F579" s="248"/>
      <c r="G579" s="248"/>
      <c r="H579" s="248"/>
      <c r="I579" s="248"/>
      <c r="J579" s="248"/>
      <c r="K579" s="248"/>
      <c r="L579" s="248"/>
      <c r="M579" s="248"/>
      <c r="N579" s="248"/>
      <c r="O579" s="248"/>
      <c r="P579" s="248"/>
      <c r="Q579" s="248"/>
      <c r="R579" s="248"/>
      <c r="S579" s="248"/>
      <c r="T579" s="248"/>
      <c r="U579" s="248"/>
      <c r="V579" s="248"/>
      <c r="W579" s="248"/>
      <c r="X579" s="248"/>
      <c r="Y579" s="248"/>
      <c r="Z579" s="248"/>
      <c r="AA579" s="248"/>
      <c r="AB579" s="248"/>
    </row>
    <row r="580" spans="2:28" ht="15.75">
      <c r="B580" s="248"/>
      <c r="C580" s="248"/>
      <c r="D580" s="248"/>
      <c r="E580" s="248"/>
      <c r="F580" s="248"/>
      <c r="G580" s="248"/>
      <c r="H580" s="248"/>
      <c r="I580" s="248"/>
      <c r="J580" s="248"/>
      <c r="K580" s="248"/>
      <c r="L580" s="248"/>
      <c r="M580" s="248"/>
      <c r="N580" s="248"/>
      <c r="O580" s="248"/>
      <c r="P580" s="248"/>
      <c r="Q580" s="248"/>
      <c r="R580" s="248"/>
      <c r="S580" s="248"/>
      <c r="T580" s="248"/>
      <c r="U580" s="248"/>
      <c r="V580" s="248"/>
      <c r="W580" s="248"/>
      <c r="X580" s="248"/>
      <c r="Y580" s="248"/>
      <c r="Z580" s="248"/>
      <c r="AA580" s="248"/>
      <c r="AB580" s="248"/>
    </row>
    <row r="581" spans="2:28" ht="15.75">
      <c r="B581" s="248"/>
      <c r="C581" s="248"/>
      <c r="D581" s="248"/>
      <c r="E581" s="248"/>
      <c r="F581" s="248"/>
      <c r="G581" s="248"/>
      <c r="H581" s="248"/>
      <c r="I581" s="248"/>
      <c r="J581" s="248"/>
      <c r="K581" s="248"/>
      <c r="L581" s="248"/>
      <c r="M581" s="248"/>
      <c r="N581" s="248"/>
      <c r="O581" s="248"/>
      <c r="P581" s="248"/>
      <c r="Q581" s="248"/>
      <c r="R581" s="248"/>
      <c r="S581" s="248"/>
      <c r="T581" s="248"/>
      <c r="U581" s="248"/>
      <c r="V581" s="248"/>
      <c r="W581" s="248"/>
      <c r="X581" s="248"/>
      <c r="Y581" s="248"/>
      <c r="Z581" s="248"/>
      <c r="AA581" s="248"/>
      <c r="AB581" s="248"/>
    </row>
    <row r="582" spans="2:28" ht="15.75">
      <c r="B582" s="248"/>
      <c r="C582" s="248"/>
      <c r="D582" s="248"/>
      <c r="E582" s="248"/>
      <c r="F582" s="248"/>
      <c r="G582" s="248"/>
      <c r="H582" s="248"/>
      <c r="I582" s="248"/>
      <c r="J582" s="248"/>
      <c r="K582" s="248"/>
      <c r="L582" s="248"/>
      <c r="M582" s="248"/>
      <c r="N582" s="248"/>
      <c r="O582" s="248"/>
      <c r="P582" s="248"/>
      <c r="Q582" s="248"/>
      <c r="R582" s="248"/>
      <c r="S582" s="248"/>
      <c r="T582" s="248"/>
      <c r="U582" s="248"/>
      <c r="V582" s="248"/>
      <c r="W582" s="248"/>
      <c r="X582" s="248"/>
      <c r="Y582" s="248"/>
      <c r="Z582" s="248"/>
      <c r="AA582" s="248"/>
      <c r="AB582" s="248"/>
    </row>
    <row r="583" spans="2:28" ht="15.75">
      <c r="B583" s="248"/>
      <c r="C583" s="248"/>
      <c r="D583" s="248"/>
      <c r="E583" s="248"/>
      <c r="F583" s="248"/>
      <c r="G583" s="248"/>
      <c r="H583" s="248"/>
      <c r="I583" s="248"/>
      <c r="J583" s="248"/>
      <c r="K583" s="248"/>
      <c r="L583" s="248"/>
      <c r="M583" s="248"/>
      <c r="N583" s="248"/>
      <c r="O583" s="248"/>
      <c r="P583" s="248"/>
      <c r="Q583" s="248"/>
      <c r="R583" s="248"/>
      <c r="S583" s="248"/>
      <c r="T583" s="248"/>
      <c r="U583" s="248"/>
      <c r="V583" s="248"/>
      <c r="W583" s="248"/>
      <c r="X583" s="248"/>
      <c r="Y583" s="248"/>
      <c r="Z583" s="248"/>
      <c r="AA583" s="248"/>
      <c r="AB583" s="248"/>
    </row>
    <row r="584" spans="2:28" ht="15.75">
      <c r="B584" s="248"/>
      <c r="C584" s="248"/>
      <c r="D584" s="248"/>
      <c r="E584" s="248"/>
      <c r="F584" s="248"/>
      <c r="G584" s="248"/>
      <c r="H584" s="248"/>
      <c r="I584" s="248"/>
      <c r="J584" s="248"/>
      <c r="K584" s="248"/>
      <c r="L584" s="248"/>
      <c r="M584" s="248"/>
      <c r="N584" s="248"/>
      <c r="O584" s="248"/>
      <c r="P584" s="248"/>
      <c r="Q584" s="248"/>
      <c r="R584" s="248"/>
      <c r="S584" s="248"/>
      <c r="T584" s="248"/>
      <c r="U584" s="248"/>
      <c r="V584" s="248"/>
      <c r="W584" s="248"/>
      <c r="X584" s="248"/>
      <c r="Y584" s="248"/>
      <c r="Z584" s="248"/>
      <c r="AA584" s="248"/>
      <c r="AB584" s="248"/>
    </row>
    <row r="585" spans="2:28" ht="15.75">
      <c r="B585" s="248"/>
      <c r="C585" s="248"/>
      <c r="D585" s="248"/>
      <c r="E585" s="248"/>
      <c r="F585" s="248"/>
      <c r="G585" s="248"/>
      <c r="H585" s="248"/>
      <c r="I585" s="248"/>
      <c r="J585" s="248"/>
      <c r="K585" s="248"/>
      <c r="L585" s="248"/>
      <c r="M585" s="248"/>
      <c r="N585" s="248"/>
      <c r="O585" s="248"/>
      <c r="P585" s="248"/>
      <c r="Q585" s="248"/>
      <c r="R585" s="248"/>
      <c r="S585" s="248"/>
      <c r="T585" s="248"/>
      <c r="U585" s="248"/>
      <c r="V585" s="248"/>
      <c r="W585" s="248"/>
      <c r="X585" s="248"/>
      <c r="Y585" s="248"/>
      <c r="Z585" s="248"/>
      <c r="AA585" s="248"/>
      <c r="AB585" s="248"/>
    </row>
    <row r="586" spans="2:28" ht="15.75">
      <c r="B586" s="248"/>
      <c r="C586" s="248"/>
      <c r="D586" s="248"/>
      <c r="E586" s="248"/>
      <c r="F586" s="248"/>
      <c r="G586" s="248"/>
      <c r="H586" s="248"/>
      <c r="I586" s="248"/>
      <c r="J586" s="248"/>
      <c r="K586" s="248"/>
      <c r="L586" s="248"/>
      <c r="M586" s="248"/>
      <c r="N586" s="248"/>
      <c r="O586" s="248"/>
      <c r="P586" s="248"/>
      <c r="Q586" s="248"/>
      <c r="R586" s="248"/>
      <c r="S586" s="248"/>
      <c r="T586" s="248"/>
      <c r="U586" s="248"/>
      <c r="V586" s="248"/>
      <c r="W586" s="248"/>
      <c r="X586" s="248"/>
      <c r="Y586" s="248"/>
      <c r="Z586" s="248"/>
      <c r="AA586" s="248"/>
      <c r="AB586" s="248"/>
    </row>
    <row r="587" spans="2:28" ht="15.75">
      <c r="B587" s="248"/>
      <c r="C587" s="248"/>
      <c r="D587" s="248"/>
      <c r="E587" s="248"/>
      <c r="F587" s="248"/>
      <c r="G587" s="248"/>
      <c r="H587" s="248"/>
      <c r="I587" s="248"/>
      <c r="J587" s="248"/>
      <c r="K587" s="248"/>
      <c r="L587" s="248"/>
      <c r="M587" s="248"/>
      <c r="N587" s="248"/>
      <c r="O587" s="248"/>
      <c r="P587" s="248"/>
      <c r="Q587" s="248"/>
      <c r="R587" s="248"/>
      <c r="S587" s="248"/>
      <c r="T587" s="248"/>
      <c r="U587" s="248"/>
      <c r="V587" s="248"/>
      <c r="W587" s="248"/>
      <c r="X587" s="248"/>
      <c r="Y587" s="248"/>
      <c r="Z587" s="248"/>
      <c r="AA587" s="248"/>
      <c r="AB587" s="248"/>
    </row>
    <row r="588" spans="2:28" ht="15.75">
      <c r="B588" s="248"/>
      <c r="C588" s="248"/>
      <c r="D588" s="248"/>
      <c r="E588" s="248"/>
      <c r="F588" s="248"/>
      <c r="G588" s="248"/>
      <c r="H588" s="248"/>
      <c r="I588" s="248"/>
      <c r="J588" s="248"/>
      <c r="K588" s="248"/>
      <c r="L588" s="248"/>
      <c r="M588" s="248"/>
      <c r="N588" s="248"/>
      <c r="O588" s="248"/>
      <c r="P588" s="248"/>
      <c r="Q588" s="248"/>
      <c r="R588" s="248"/>
      <c r="S588" s="248"/>
      <c r="T588" s="248"/>
      <c r="U588" s="248"/>
      <c r="V588" s="248"/>
      <c r="W588" s="248"/>
      <c r="X588" s="248"/>
      <c r="Y588" s="248"/>
      <c r="Z588" s="248"/>
      <c r="AA588" s="248"/>
      <c r="AB588" s="248"/>
    </row>
    <row r="589" spans="2:28" ht="15.75">
      <c r="B589" s="248"/>
      <c r="C589" s="248"/>
      <c r="D589" s="248"/>
      <c r="E589" s="248"/>
      <c r="F589" s="248"/>
      <c r="G589" s="248"/>
      <c r="H589" s="248"/>
      <c r="I589" s="248"/>
      <c r="J589" s="248"/>
      <c r="K589" s="248"/>
      <c r="L589" s="248"/>
      <c r="M589" s="248"/>
      <c r="N589" s="248"/>
      <c r="O589" s="248"/>
      <c r="P589" s="248"/>
      <c r="Q589" s="248"/>
      <c r="R589" s="248"/>
      <c r="S589" s="248"/>
      <c r="T589" s="248"/>
      <c r="U589" s="248"/>
      <c r="V589" s="248"/>
      <c r="W589" s="248"/>
      <c r="X589" s="248"/>
      <c r="Y589" s="248"/>
      <c r="Z589" s="248"/>
      <c r="AA589" s="248"/>
      <c r="AB589" s="248"/>
    </row>
    <row r="590" spans="2:28" ht="15.75">
      <c r="B590" s="248"/>
      <c r="C590" s="248"/>
      <c r="D590" s="248"/>
      <c r="E590" s="248"/>
      <c r="F590" s="248"/>
      <c r="G590" s="248"/>
      <c r="H590" s="248"/>
      <c r="I590" s="248"/>
      <c r="J590" s="248"/>
      <c r="K590" s="248"/>
      <c r="L590" s="248"/>
      <c r="M590" s="248"/>
      <c r="N590" s="248"/>
      <c r="O590" s="248"/>
      <c r="P590" s="248"/>
      <c r="Q590" s="248"/>
      <c r="R590" s="248"/>
      <c r="S590" s="248"/>
      <c r="T590" s="248"/>
      <c r="U590" s="248"/>
      <c r="V590" s="248"/>
      <c r="W590" s="248"/>
      <c r="X590" s="248"/>
      <c r="Y590" s="248"/>
      <c r="Z590" s="248"/>
      <c r="AA590" s="248"/>
      <c r="AB590" s="248"/>
    </row>
    <row r="591" spans="2:28" ht="15.75">
      <c r="B591" s="248"/>
      <c r="C591" s="248"/>
      <c r="D591" s="248"/>
      <c r="E591" s="248"/>
      <c r="F591" s="248"/>
      <c r="G591" s="248"/>
      <c r="H591" s="248"/>
      <c r="I591" s="248"/>
      <c r="J591" s="248"/>
      <c r="K591" s="248"/>
      <c r="L591" s="248"/>
      <c r="M591" s="248"/>
      <c r="N591" s="248"/>
      <c r="O591" s="248"/>
      <c r="P591" s="248"/>
      <c r="Q591" s="248"/>
      <c r="R591" s="248"/>
      <c r="S591" s="248"/>
      <c r="T591" s="248"/>
      <c r="U591" s="248"/>
      <c r="V591" s="248"/>
      <c r="W591" s="248"/>
      <c r="X591" s="248"/>
      <c r="Y591" s="248"/>
      <c r="Z591" s="248"/>
      <c r="AA591" s="248"/>
      <c r="AB591" s="248"/>
    </row>
    <row r="592" spans="2:28" ht="15.75">
      <c r="B592" s="248"/>
      <c r="C592" s="248"/>
      <c r="D592" s="248"/>
      <c r="E592" s="248"/>
      <c r="F592" s="248"/>
      <c r="G592" s="248"/>
      <c r="H592" s="248"/>
      <c r="I592" s="248"/>
      <c r="J592" s="248"/>
      <c r="K592" s="248"/>
      <c r="L592" s="248"/>
      <c r="M592" s="248"/>
      <c r="N592" s="248"/>
      <c r="O592" s="248"/>
      <c r="P592" s="248"/>
      <c r="Q592" s="248"/>
      <c r="R592" s="248"/>
      <c r="S592" s="248"/>
      <c r="T592" s="248"/>
      <c r="U592" s="248"/>
      <c r="V592" s="248"/>
      <c r="W592" s="248"/>
      <c r="X592" s="248"/>
      <c r="Y592" s="248"/>
      <c r="Z592" s="248"/>
      <c r="AA592" s="248"/>
      <c r="AB592" s="248"/>
    </row>
    <row r="593" spans="2:28" ht="15.75">
      <c r="B593" s="248"/>
      <c r="C593" s="248"/>
      <c r="D593" s="248"/>
      <c r="E593" s="248"/>
      <c r="F593" s="248"/>
      <c r="G593" s="248"/>
      <c r="H593" s="248"/>
      <c r="I593" s="248"/>
      <c r="J593" s="248"/>
      <c r="K593" s="248"/>
      <c r="L593" s="248"/>
      <c r="M593" s="248"/>
      <c r="N593" s="248"/>
      <c r="O593" s="248"/>
      <c r="P593" s="248"/>
      <c r="Q593" s="248"/>
      <c r="R593" s="248"/>
      <c r="S593" s="248"/>
      <c r="T593" s="248"/>
      <c r="U593" s="248"/>
      <c r="V593" s="248"/>
      <c r="W593" s="248"/>
      <c r="X593" s="248"/>
      <c r="Y593" s="248"/>
      <c r="Z593" s="248"/>
      <c r="AA593" s="248"/>
      <c r="AB593" s="248"/>
    </row>
    <row r="594" spans="2:28" ht="15.75">
      <c r="B594" s="248"/>
      <c r="C594" s="248"/>
      <c r="D594" s="248"/>
      <c r="E594" s="248"/>
      <c r="F594" s="248"/>
      <c r="G594" s="248"/>
      <c r="H594" s="248"/>
      <c r="I594" s="248"/>
      <c r="J594" s="248"/>
      <c r="K594" s="248"/>
      <c r="L594" s="248"/>
      <c r="M594" s="248"/>
      <c r="N594" s="248"/>
      <c r="O594" s="248"/>
      <c r="P594" s="248"/>
      <c r="Q594" s="248"/>
      <c r="R594" s="248"/>
      <c r="S594" s="248"/>
      <c r="T594" s="248"/>
      <c r="U594" s="248"/>
      <c r="V594" s="248"/>
      <c r="W594" s="248"/>
      <c r="X594" s="248"/>
      <c r="Y594" s="248"/>
      <c r="Z594" s="248"/>
      <c r="AA594" s="248"/>
      <c r="AB594" s="248"/>
    </row>
    <row r="595" spans="2:28" ht="15.75">
      <c r="B595" s="248"/>
      <c r="C595" s="248"/>
      <c r="D595" s="248"/>
      <c r="E595" s="248"/>
      <c r="F595" s="248"/>
      <c r="G595" s="248"/>
      <c r="H595" s="248"/>
      <c r="I595" s="248"/>
      <c r="J595" s="248"/>
      <c r="K595" s="248"/>
      <c r="L595" s="248"/>
      <c r="M595" s="248"/>
      <c r="N595" s="248"/>
      <c r="O595" s="248"/>
      <c r="P595" s="248"/>
      <c r="Q595" s="248"/>
      <c r="R595" s="248"/>
      <c r="S595" s="248"/>
      <c r="T595" s="248"/>
      <c r="U595" s="248"/>
      <c r="V595" s="248"/>
      <c r="W595" s="248"/>
      <c r="X595" s="248"/>
      <c r="Y595" s="248"/>
      <c r="Z595" s="248"/>
      <c r="AA595" s="248"/>
      <c r="AB595" s="248"/>
    </row>
    <row r="596" spans="2:28" ht="15.75">
      <c r="B596" s="248"/>
      <c r="C596" s="248"/>
      <c r="D596" s="248"/>
      <c r="E596" s="248"/>
      <c r="F596" s="248"/>
      <c r="G596" s="248"/>
      <c r="H596" s="248"/>
      <c r="I596" s="248"/>
      <c r="J596" s="248"/>
      <c r="K596" s="248"/>
      <c r="L596" s="248"/>
      <c r="M596" s="248"/>
      <c r="N596" s="248"/>
      <c r="O596" s="248"/>
      <c r="P596" s="248"/>
      <c r="Q596" s="248"/>
      <c r="R596" s="248"/>
      <c r="S596" s="248"/>
      <c r="T596" s="248"/>
      <c r="U596" s="248"/>
      <c r="V596" s="248"/>
      <c r="W596" s="248"/>
      <c r="X596" s="248"/>
      <c r="Y596" s="248"/>
      <c r="Z596" s="248"/>
      <c r="AA596" s="248"/>
      <c r="AB596" s="248"/>
    </row>
    <row r="597" spans="2:28" ht="15.75">
      <c r="B597" s="248"/>
      <c r="C597" s="248"/>
      <c r="D597" s="248"/>
      <c r="E597" s="248"/>
      <c r="F597" s="248"/>
      <c r="G597" s="248"/>
      <c r="H597" s="248"/>
      <c r="I597" s="248"/>
      <c r="J597" s="248"/>
      <c r="K597" s="248"/>
      <c r="L597" s="248"/>
      <c r="M597" s="248"/>
      <c r="N597" s="248"/>
      <c r="O597" s="248"/>
      <c r="P597" s="248"/>
      <c r="Q597" s="248"/>
      <c r="R597" s="248"/>
      <c r="S597" s="248"/>
      <c r="T597" s="248"/>
      <c r="U597" s="248"/>
      <c r="V597" s="248"/>
      <c r="W597" s="248"/>
      <c r="X597" s="248"/>
      <c r="Y597" s="248"/>
      <c r="Z597" s="248"/>
      <c r="AA597" s="248"/>
      <c r="AB597" s="248"/>
    </row>
    <row r="598" spans="2:28" ht="15.75">
      <c r="B598" s="248"/>
      <c r="C598" s="248"/>
      <c r="D598" s="248"/>
      <c r="E598" s="248"/>
      <c r="F598" s="248"/>
      <c r="G598" s="248"/>
      <c r="H598" s="248"/>
      <c r="I598" s="248"/>
      <c r="J598" s="248"/>
      <c r="K598" s="248"/>
      <c r="L598" s="248"/>
      <c r="M598" s="248"/>
      <c r="N598" s="248"/>
      <c r="O598" s="248"/>
      <c r="P598" s="248"/>
      <c r="Q598" s="248"/>
      <c r="R598" s="248"/>
      <c r="S598" s="248"/>
      <c r="T598" s="248"/>
      <c r="U598" s="248"/>
      <c r="V598" s="248"/>
      <c r="W598" s="248"/>
      <c r="X598" s="248"/>
      <c r="Y598" s="248"/>
      <c r="Z598" s="248"/>
      <c r="AA598" s="248"/>
      <c r="AB598" s="248"/>
    </row>
    <row r="599" spans="2:28" ht="15.75">
      <c r="B599" s="248"/>
      <c r="C599" s="248"/>
      <c r="D599" s="248"/>
      <c r="E599" s="248"/>
      <c r="F599" s="248"/>
      <c r="G599" s="248"/>
      <c r="H599" s="248"/>
      <c r="I599" s="248"/>
      <c r="J599" s="248"/>
      <c r="K599" s="248"/>
      <c r="L599" s="248"/>
      <c r="M599" s="248"/>
      <c r="N599" s="248"/>
      <c r="O599" s="248"/>
      <c r="P599" s="248"/>
      <c r="Q599" s="248"/>
      <c r="R599" s="248"/>
      <c r="S599" s="248"/>
      <c r="T599" s="248"/>
      <c r="U599" s="248"/>
      <c r="V599" s="248"/>
      <c r="W599" s="248"/>
      <c r="X599" s="248"/>
      <c r="Y599" s="248"/>
      <c r="Z599" s="248"/>
      <c r="AA599" s="248"/>
      <c r="AB599" s="248"/>
    </row>
    <row r="600" spans="2:28" ht="15.75">
      <c r="B600" s="248"/>
      <c r="C600" s="248"/>
      <c r="D600" s="248"/>
      <c r="E600" s="248"/>
      <c r="F600" s="248"/>
      <c r="G600" s="248"/>
      <c r="H600" s="248"/>
      <c r="I600" s="248"/>
      <c r="J600" s="248"/>
      <c r="K600" s="248"/>
      <c r="L600" s="248"/>
      <c r="M600" s="248"/>
      <c r="N600" s="248"/>
      <c r="O600" s="248"/>
      <c r="P600" s="248"/>
      <c r="Q600" s="248"/>
      <c r="R600" s="248"/>
      <c r="S600" s="248"/>
      <c r="T600" s="248"/>
      <c r="U600" s="248"/>
      <c r="V600" s="248"/>
      <c r="W600" s="248"/>
      <c r="X600" s="248"/>
      <c r="Y600" s="248"/>
      <c r="Z600" s="248"/>
      <c r="AA600" s="248"/>
      <c r="AB600" s="248"/>
    </row>
    <row r="601" spans="2:28" ht="15.75">
      <c r="B601" s="248"/>
      <c r="C601" s="248"/>
      <c r="D601" s="248"/>
      <c r="E601" s="248"/>
      <c r="F601" s="248"/>
      <c r="G601" s="248"/>
      <c r="H601" s="248"/>
      <c r="I601" s="248"/>
      <c r="J601" s="248"/>
      <c r="K601" s="248"/>
      <c r="L601" s="248"/>
      <c r="M601" s="248"/>
      <c r="N601" s="248"/>
      <c r="O601" s="248"/>
      <c r="P601" s="248"/>
      <c r="Q601" s="248"/>
      <c r="R601" s="248"/>
      <c r="S601" s="248"/>
      <c r="T601" s="248"/>
      <c r="U601" s="248"/>
      <c r="V601" s="248"/>
      <c r="W601" s="248"/>
      <c r="X601" s="248"/>
      <c r="Y601" s="248"/>
      <c r="Z601" s="248"/>
      <c r="AA601" s="248"/>
      <c r="AB601" s="248"/>
    </row>
    <row r="602" spans="2:28" ht="15.75">
      <c r="B602" s="248"/>
      <c r="C602" s="248"/>
      <c r="D602" s="248"/>
      <c r="E602" s="248"/>
      <c r="F602" s="248"/>
      <c r="G602" s="248"/>
      <c r="H602" s="248"/>
      <c r="I602" s="248"/>
      <c r="J602" s="248"/>
      <c r="K602" s="248"/>
      <c r="L602" s="248"/>
      <c r="M602" s="248"/>
      <c r="N602" s="248"/>
      <c r="O602" s="248"/>
      <c r="P602" s="248"/>
      <c r="Q602" s="248"/>
      <c r="R602" s="248"/>
      <c r="S602" s="248"/>
      <c r="T602" s="248"/>
      <c r="U602" s="248"/>
      <c r="V602" s="248"/>
      <c r="W602" s="248"/>
      <c r="X602" s="248"/>
      <c r="Y602" s="248"/>
      <c r="Z602" s="248"/>
      <c r="AA602" s="248"/>
      <c r="AB602" s="248"/>
    </row>
    <row r="603" spans="2:28" ht="15.75">
      <c r="B603" s="248"/>
      <c r="C603" s="248"/>
      <c r="D603" s="248"/>
      <c r="E603" s="248"/>
      <c r="F603" s="248"/>
      <c r="G603" s="248"/>
      <c r="H603" s="248"/>
      <c r="I603" s="248"/>
      <c r="J603" s="248"/>
      <c r="K603" s="248"/>
      <c r="L603" s="248"/>
      <c r="M603" s="248"/>
      <c r="N603" s="248"/>
      <c r="O603" s="248"/>
      <c r="P603" s="248"/>
      <c r="Q603" s="248"/>
      <c r="R603" s="248"/>
      <c r="S603" s="248"/>
      <c r="T603" s="248"/>
      <c r="U603" s="248"/>
      <c r="V603" s="248"/>
      <c r="W603" s="248"/>
      <c r="X603" s="248"/>
      <c r="Y603" s="248"/>
      <c r="Z603" s="248"/>
      <c r="AA603" s="248"/>
      <c r="AB603" s="248"/>
    </row>
    <row r="604" spans="2:28" ht="15.75">
      <c r="B604" s="248"/>
      <c r="C604" s="248"/>
      <c r="D604" s="248"/>
      <c r="E604" s="248"/>
      <c r="F604" s="248"/>
      <c r="G604" s="248"/>
      <c r="H604" s="248"/>
      <c r="I604" s="248"/>
      <c r="J604" s="248"/>
      <c r="K604" s="248"/>
      <c r="L604" s="248"/>
      <c r="M604" s="248"/>
      <c r="N604" s="248"/>
      <c r="O604" s="248"/>
      <c r="P604" s="248"/>
      <c r="Q604" s="248"/>
      <c r="R604" s="248"/>
      <c r="S604" s="248"/>
      <c r="T604" s="248"/>
      <c r="U604" s="248"/>
      <c r="V604" s="248"/>
      <c r="W604" s="248"/>
      <c r="X604" s="248"/>
      <c r="Y604" s="248"/>
      <c r="Z604" s="248"/>
      <c r="AA604" s="248"/>
      <c r="AB604" s="248"/>
    </row>
    <row r="605" spans="2:28" ht="15.75">
      <c r="B605" s="248"/>
      <c r="C605" s="248"/>
      <c r="D605" s="248"/>
      <c r="E605" s="248"/>
      <c r="F605" s="248"/>
      <c r="G605" s="248"/>
      <c r="H605" s="248"/>
      <c r="I605" s="248"/>
      <c r="J605" s="248"/>
      <c r="K605" s="248"/>
      <c r="L605" s="248"/>
      <c r="M605" s="248"/>
      <c r="N605" s="248"/>
      <c r="O605" s="248"/>
      <c r="P605" s="248"/>
      <c r="Q605" s="248"/>
      <c r="R605" s="248"/>
      <c r="S605" s="248"/>
      <c r="T605" s="248"/>
      <c r="U605" s="248"/>
      <c r="V605" s="248"/>
      <c r="W605" s="248"/>
      <c r="X605" s="248"/>
      <c r="Y605" s="248"/>
      <c r="Z605" s="248"/>
      <c r="AA605" s="248"/>
      <c r="AB605" s="248"/>
    </row>
    <row r="606" spans="2:28" ht="15.75">
      <c r="B606" s="248"/>
      <c r="C606" s="248"/>
      <c r="D606" s="248"/>
      <c r="E606" s="248"/>
      <c r="F606" s="248"/>
      <c r="G606" s="248"/>
      <c r="H606" s="248"/>
      <c r="I606" s="248"/>
      <c r="J606" s="248"/>
      <c r="K606" s="248"/>
      <c r="L606" s="248"/>
      <c r="M606" s="248"/>
      <c r="N606" s="248"/>
      <c r="O606" s="248"/>
      <c r="P606" s="248"/>
      <c r="Q606" s="248"/>
      <c r="R606" s="248"/>
      <c r="S606" s="248"/>
      <c r="T606" s="248"/>
      <c r="U606" s="248"/>
      <c r="V606" s="248"/>
      <c r="W606" s="248"/>
      <c r="X606" s="248"/>
      <c r="Y606" s="248"/>
      <c r="Z606" s="248"/>
      <c r="AA606" s="248"/>
      <c r="AB606" s="248"/>
    </row>
    <row r="607" spans="2:28" ht="15.75">
      <c r="B607" s="248"/>
      <c r="C607" s="248"/>
      <c r="D607" s="248"/>
      <c r="E607" s="248"/>
      <c r="F607" s="248"/>
      <c r="G607" s="248"/>
      <c r="H607" s="248"/>
      <c r="I607" s="248"/>
      <c r="J607" s="248"/>
      <c r="K607" s="248"/>
      <c r="L607" s="248"/>
      <c r="M607" s="248"/>
      <c r="N607" s="248"/>
      <c r="O607" s="248"/>
      <c r="P607" s="248"/>
      <c r="Q607" s="248"/>
      <c r="R607" s="248"/>
      <c r="S607" s="248"/>
      <c r="T607" s="248"/>
      <c r="U607" s="248"/>
      <c r="V607" s="248"/>
      <c r="W607" s="248"/>
      <c r="X607" s="248"/>
      <c r="Y607" s="248"/>
      <c r="Z607" s="248"/>
      <c r="AA607" s="248"/>
      <c r="AB607" s="248"/>
    </row>
    <row r="608" spans="2:28" ht="15.75">
      <c r="B608" s="248"/>
      <c r="C608" s="248"/>
      <c r="D608" s="248"/>
      <c r="E608" s="248"/>
      <c r="F608" s="248"/>
      <c r="G608" s="248"/>
      <c r="H608" s="248"/>
      <c r="I608" s="248"/>
      <c r="J608" s="248"/>
      <c r="K608" s="248"/>
      <c r="L608" s="248"/>
      <c r="M608" s="248"/>
      <c r="N608" s="248"/>
      <c r="O608" s="248"/>
      <c r="P608" s="248"/>
      <c r="Q608" s="248"/>
      <c r="R608" s="248"/>
      <c r="S608" s="248"/>
      <c r="T608" s="248"/>
      <c r="U608" s="248"/>
      <c r="V608" s="248"/>
      <c r="W608" s="248"/>
      <c r="X608" s="248"/>
      <c r="Y608" s="248"/>
      <c r="Z608" s="248"/>
      <c r="AA608" s="248"/>
      <c r="AB608" s="248"/>
    </row>
    <row r="609" spans="2:28" ht="15.75">
      <c r="B609" s="248"/>
      <c r="C609" s="248"/>
      <c r="D609" s="248"/>
      <c r="E609" s="248"/>
      <c r="F609" s="248"/>
      <c r="G609" s="248"/>
      <c r="H609" s="248"/>
      <c r="I609" s="248"/>
      <c r="J609" s="248"/>
      <c r="K609" s="248"/>
      <c r="L609" s="248"/>
      <c r="M609" s="248"/>
      <c r="N609" s="248"/>
      <c r="O609" s="248"/>
      <c r="P609" s="248"/>
      <c r="Q609" s="248"/>
      <c r="R609" s="248"/>
      <c r="S609" s="248"/>
      <c r="T609" s="248"/>
      <c r="U609" s="248"/>
      <c r="V609" s="248"/>
      <c r="W609" s="248"/>
      <c r="X609" s="248"/>
      <c r="Y609" s="248"/>
      <c r="Z609" s="248"/>
      <c r="AA609" s="248"/>
      <c r="AB609" s="248"/>
    </row>
    <row r="610" spans="2:28" ht="15.75">
      <c r="B610" s="248"/>
      <c r="C610" s="248"/>
      <c r="D610" s="248"/>
      <c r="E610" s="248"/>
      <c r="F610" s="248"/>
      <c r="G610" s="248"/>
      <c r="H610" s="248"/>
      <c r="I610" s="248"/>
      <c r="J610" s="248"/>
      <c r="K610" s="248"/>
      <c r="L610" s="248"/>
      <c r="M610" s="248"/>
      <c r="N610" s="248"/>
      <c r="O610" s="248"/>
      <c r="P610" s="248"/>
      <c r="Q610" s="248"/>
      <c r="R610" s="248"/>
      <c r="S610" s="248"/>
      <c r="T610" s="248"/>
      <c r="U610" s="248"/>
      <c r="V610" s="248"/>
      <c r="W610" s="248"/>
      <c r="X610" s="248"/>
      <c r="Y610" s="248"/>
      <c r="Z610" s="248"/>
      <c r="AA610" s="248"/>
      <c r="AB610" s="248"/>
    </row>
    <row r="611" spans="2:28" ht="15.75">
      <c r="B611" s="248"/>
      <c r="C611" s="248"/>
      <c r="D611" s="248"/>
      <c r="E611" s="248"/>
      <c r="F611" s="248"/>
      <c r="G611" s="248"/>
      <c r="H611" s="248"/>
      <c r="I611" s="248"/>
      <c r="J611" s="248"/>
      <c r="K611" s="248"/>
      <c r="L611" s="248"/>
      <c r="M611" s="248"/>
      <c r="N611" s="248"/>
      <c r="O611" s="248"/>
      <c r="P611" s="248"/>
      <c r="Q611" s="248"/>
      <c r="R611" s="248"/>
      <c r="S611" s="248"/>
      <c r="T611" s="248"/>
      <c r="U611" s="248"/>
      <c r="V611" s="248"/>
      <c r="W611" s="248"/>
      <c r="X611" s="248"/>
      <c r="Y611" s="248"/>
      <c r="Z611" s="248"/>
      <c r="AA611" s="248"/>
      <c r="AB611" s="248"/>
    </row>
    <row r="612" spans="2:28" ht="15.75">
      <c r="B612" s="248"/>
      <c r="C612" s="248"/>
      <c r="D612" s="248"/>
      <c r="E612" s="248"/>
      <c r="F612" s="248"/>
      <c r="G612" s="248"/>
      <c r="H612" s="248"/>
      <c r="I612" s="248"/>
      <c r="J612" s="248"/>
      <c r="K612" s="248"/>
      <c r="L612" s="248"/>
      <c r="M612" s="248"/>
      <c r="N612" s="248"/>
      <c r="O612" s="248"/>
      <c r="P612" s="248"/>
      <c r="Q612" s="248"/>
      <c r="R612" s="248"/>
      <c r="S612" s="248"/>
      <c r="T612" s="248"/>
      <c r="U612" s="248"/>
      <c r="V612" s="248"/>
      <c r="W612" s="248"/>
      <c r="X612" s="248"/>
      <c r="Y612" s="248"/>
      <c r="Z612" s="248"/>
      <c r="AA612" s="248"/>
      <c r="AB612" s="248"/>
    </row>
    <row r="613" spans="2:28" ht="15.75">
      <c r="B613" s="248"/>
      <c r="C613" s="248"/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8"/>
      <c r="Q613" s="248"/>
      <c r="R613" s="248"/>
      <c r="S613" s="248"/>
      <c r="T613" s="248"/>
      <c r="U613" s="248"/>
      <c r="V613" s="248"/>
      <c r="W613" s="248"/>
      <c r="X613" s="248"/>
      <c r="Y613" s="248"/>
      <c r="Z613" s="248"/>
      <c r="AA613" s="248"/>
      <c r="AB613" s="248"/>
    </row>
    <row r="614" spans="2:28" ht="15.75">
      <c r="B614" s="248"/>
      <c r="C614" s="248"/>
      <c r="D614" s="248"/>
      <c r="E614" s="248"/>
      <c r="F614" s="248"/>
      <c r="G614" s="248"/>
      <c r="H614" s="248"/>
      <c r="I614" s="248"/>
      <c r="J614" s="248"/>
      <c r="K614" s="248"/>
      <c r="L614" s="248"/>
      <c r="M614" s="248"/>
      <c r="N614" s="248"/>
      <c r="O614" s="248"/>
      <c r="P614" s="248"/>
      <c r="Q614" s="248"/>
      <c r="R614" s="248"/>
      <c r="S614" s="248"/>
      <c r="T614" s="248"/>
      <c r="U614" s="248"/>
      <c r="V614" s="248"/>
      <c r="W614" s="248"/>
      <c r="X614" s="248"/>
      <c r="Y614" s="248"/>
      <c r="Z614" s="248"/>
      <c r="AA614" s="248"/>
      <c r="AB614" s="248"/>
    </row>
    <row r="615" spans="2:28" ht="15.75">
      <c r="B615" s="248"/>
      <c r="C615" s="248"/>
      <c r="D615" s="248"/>
      <c r="E615" s="248"/>
      <c r="F615" s="248"/>
      <c r="G615" s="248"/>
      <c r="H615" s="248"/>
      <c r="I615" s="248"/>
      <c r="J615" s="248"/>
      <c r="K615" s="248"/>
      <c r="L615" s="248"/>
      <c r="M615" s="248"/>
      <c r="N615" s="248"/>
      <c r="O615" s="248"/>
      <c r="P615" s="248"/>
      <c r="Q615" s="248"/>
      <c r="R615" s="248"/>
      <c r="S615" s="248"/>
      <c r="T615" s="248"/>
      <c r="U615" s="248"/>
      <c r="V615" s="248"/>
      <c r="W615" s="248"/>
      <c r="X615" s="248"/>
      <c r="Y615" s="248"/>
      <c r="Z615" s="248"/>
      <c r="AA615" s="248"/>
      <c r="AB615" s="248"/>
    </row>
    <row r="616" spans="2:28" ht="15.75">
      <c r="B616" s="248"/>
      <c r="C616" s="248"/>
      <c r="D616" s="248"/>
      <c r="E616" s="248"/>
      <c r="F616" s="248"/>
      <c r="G616" s="248"/>
      <c r="H616" s="248"/>
      <c r="I616" s="248"/>
      <c r="J616" s="248"/>
      <c r="K616" s="248"/>
      <c r="L616" s="248"/>
      <c r="M616" s="248"/>
      <c r="N616" s="248"/>
      <c r="O616" s="248"/>
      <c r="P616" s="248"/>
      <c r="Q616" s="248"/>
      <c r="R616" s="248"/>
      <c r="S616" s="248"/>
      <c r="T616" s="248"/>
      <c r="U616" s="248"/>
      <c r="V616" s="248"/>
      <c r="W616" s="248"/>
      <c r="X616" s="248"/>
      <c r="Y616" s="248"/>
      <c r="Z616" s="248"/>
      <c r="AA616" s="248"/>
      <c r="AB616" s="248"/>
    </row>
    <row r="617" spans="2:28" ht="15.75">
      <c r="B617" s="248"/>
      <c r="C617" s="248"/>
      <c r="D617" s="248"/>
      <c r="E617" s="248"/>
      <c r="F617" s="248"/>
      <c r="G617" s="248"/>
      <c r="H617" s="248"/>
      <c r="I617" s="248"/>
      <c r="J617" s="248"/>
      <c r="K617" s="248"/>
      <c r="L617" s="248"/>
      <c r="M617" s="248"/>
      <c r="N617" s="248"/>
      <c r="O617" s="248"/>
      <c r="P617" s="248"/>
      <c r="Q617" s="248"/>
      <c r="R617" s="248"/>
      <c r="S617" s="248"/>
      <c r="T617" s="248"/>
      <c r="U617" s="248"/>
      <c r="V617" s="248"/>
      <c r="W617" s="248"/>
      <c r="X617" s="248"/>
      <c r="Y617" s="248"/>
      <c r="Z617" s="248"/>
      <c r="AA617" s="248"/>
      <c r="AB617" s="248"/>
    </row>
    <row r="618" spans="2:28" ht="15.75">
      <c r="B618" s="248"/>
      <c r="C618" s="248"/>
      <c r="D618" s="248"/>
      <c r="E618" s="248"/>
      <c r="F618" s="248"/>
      <c r="G618" s="248"/>
      <c r="H618" s="248"/>
      <c r="I618" s="248"/>
      <c r="J618" s="248"/>
      <c r="K618" s="248"/>
      <c r="L618" s="248"/>
      <c r="M618" s="248"/>
      <c r="N618" s="248"/>
      <c r="O618" s="248"/>
      <c r="P618" s="248"/>
      <c r="Q618" s="248"/>
      <c r="R618" s="248"/>
      <c r="S618" s="248"/>
      <c r="T618" s="248"/>
      <c r="U618" s="248"/>
      <c r="V618" s="248"/>
      <c r="W618" s="248"/>
      <c r="X618" s="248"/>
      <c r="Y618" s="248"/>
      <c r="Z618" s="248"/>
      <c r="AA618" s="248"/>
      <c r="AB618" s="248"/>
    </row>
    <row r="619" spans="2:28" ht="15.75">
      <c r="B619" s="248"/>
      <c r="C619" s="248"/>
      <c r="D619" s="248"/>
      <c r="E619" s="248"/>
      <c r="F619" s="248"/>
      <c r="G619" s="248"/>
      <c r="H619" s="248"/>
      <c r="I619" s="248"/>
      <c r="J619" s="248"/>
      <c r="K619" s="248"/>
      <c r="L619" s="248"/>
      <c r="M619" s="248"/>
      <c r="N619" s="248"/>
      <c r="O619" s="248"/>
      <c r="P619" s="248"/>
      <c r="Q619" s="248"/>
      <c r="R619" s="248"/>
      <c r="S619" s="248"/>
      <c r="T619" s="248"/>
      <c r="U619" s="248"/>
      <c r="V619" s="248"/>
      <c r="W619" s="248"/>
      <c r="X619" s="248"/>
      <c r="Y619" s="248"/>
      <c r="Z619" s="248"/>
      <c r="AA619" s="248"/>
      <c r="AB619" s="248"/>
    </row>
    <row r="620" spans="2:28" ht="15.75">
      <c r="B620" s="248"/>
      <c r="C620" s="248"/>
      <c r="D620" s="248"/>
      <c r="E620" s="248"/>
      <c r="F620" s="248"/>
      <c r="G620" s="248"/>
      <c r="H620" s="248"/>
      <c r="I620" s="248"/>
      <c r="J620" s="248"/>
      <c r="K620" s="248"/>
      <c r="L620" s="248"/>
      <c r="M620" s="248"/>
      <c r="N620" s="248"/>
      <c r="O620" s="248"/>
      <c r="P620" s="248"/>
      <c r="Q620" s="248"/>
      <c r="R620" s="248"/>
      <c r="S620" s="248"/>
      <c r="T620" s="248"/>
      <c r="U620" s="248"/>
      <c r="V620" s="248"/>
      <c r="W620" s="248"/>
      <c r="X620" s="248"/>
      <c r="Y620" s="248"/>
      <c r="Z620" s="248"/>
      <c r="AA620" s="248"/>
      <c r="AB620" s="248"/>
    </row>
    <row r="621" spans="2:28" ht="15.75">
      <c r="B621" s="248"/>
      <c r="C621" s="248"/>
      <c r="D621" s="248"/>
      <c r="E621" s="248"/>
      <c r="F621" s="248"/>
      <c r="G621" s="248"/>
      <c r="H621" s="248"/>
      <c r="I621" s="248"/>
      <c r="J621" s="248"/>
      <c r="K621" s="248"/>
      <c r="L621" s="248"/>
      <c r="M621" s="248"/>
      <c r="N621" s="248"/>
      <c r="O621" s="248"/>
      <c r="P621" s="248"/>
      <c r="Q621" s="248"/>
      <c r="R621" s="248"/>
      <c r="S621" s="248"/>
      <c r="T621" s="248"/>
      <c r="U621" s="248"/>
      <c r="V621" s="248"/>
      <c r="W621" s="248"/>
      <c r="X621" s="248"/>
      <c r="Y621" s="248"/>
      <c r="Z621" s="248"/>
      <c r="AA621" s="248"/>
      <c r="AB621" s="248"/>
    </row>
    <row r="622" spans="2:28" ht="15.75">
      <c r="B622" s="248"/>
      <c r="C622" s="248"/>
      <c r="D622" s="248"/>
      <c r="E622" s="248"/>
      <c r="F622" s="248"/>
      <c r="G622" s="248"/>
      <c r="H622" s="248"/>
      <c r="I622" s="248"/>
      <c r="J622" s="248"/>
      <c r="K622" s="248"/>
      <c r="L622" s="248"/>
      <c r="M622" s="248"/>
      <c r="N622" s="248"/>
      <c r="O622" s="248"/>
      <c r="P622" s="248"/>
      <c r="Q622" s="248"/>
      <c r="R622" s="248"/>
      <c r="S622" s="248"/>
      <c r="T622" s="248"/>
      <c r="U622" s="248"/>
      <c r="V622" s="248"/>
      <c r="W622" s="248"/>
      <c r="X622" s="248"/>
      <c r="Y622" s="248"/>
      <c r="Z622" s="248"/>
      <c r="AA622" s="248"/>
      <c r="AB622" s="248"/>
    </row>
    <row r="623" spans="2:28" ht="15.75">
      <c r="B623" s="248"/>
      <c r="C623" s="248"/>
      <c r="D623" s="248"/>
      <c r="E623" s="248"/>
      <c r="F623" s="248"/>
      <c r="G623" s="248"/>
      <c r="H623" s="248"/>
      <c r="I623" s="248"/>
      <c r="J623" s="248"/>
      <c r="K623" s="248"/>
      <c r="L623" s="248"/>
      <c r="M623" s="248"/>
      <c r="N623" s="248"/>
      <c r="O623" s="248"/>
      <c r="P623" s="248"/>
      <c r="Q623" s="248"/>
      <c r="R623" s="248"/>
      <c r="S623" s="248"/>
      <c r="T623" s="248"/>
      <c r="U623" s="248"/>
      <c r="V623" s="248"/>
      <c r="W623" s="248"/>
      <c r="X623" s="248"/>
      <c r="Y623" s="248"/>
      <c r="Z623" s="248"/>
      <c r="AA623" s="248"/>
      <c r="AB623" s="248"/>
    </row>
    <row r="624" spans="2:28" ht="15.75">
      <c r="B624" s="248"/>
      <c r="C624" s="248"/>
      <c r="D624" s="248"/>
      <c r="E624" s="248"/>
      <c r="F624" s="248"/>
      <c r="G624" s="248"/>
      <c r="H624" s="248"/>
      <c r="I624" s="248"/>
      <c r="J624" s="248"/>
      <c r="K624" s="248"/>
      <c r="L624" s="248"/>
      <c r="M624" s="248"/>
      <c r="N624" s="248"/>
      <c r="O624" s="248"/>
      <c r="P624" s="248"/>
      <c r="Q624" s="248"/>
      <c r="R624" s="248"/>
      <c r="S624" s="248"/>
      <c r="T624" s="248"/>
      <c r="U624" s="248"/>
      <c r="V624" s="248"/>
      <c r="W624" s="248"/>
      <c r="X624" s="248"/>
      <c r="Y624" s="248"/>
      <c r="Z624" s="248"/>
      <c r="AA624" s="248"/>
      <c r="AB624" s="248"/>
    </row>
    <row r="625" spans="2:28" ht="15.75">
      <c r="B625" s="248"/>
      <c r="C625" s="248"/>
      <c r="D625" s="248"/>
      <c r="E625" s="248"/>
      <c r="F625" s="248"/>
      <c r="G625" s="248"/>
      <c r="H625" s="248"/>
      <c r="I625" s="248"/>
      <c r="J625" s="248"/>
      <c r="K625" s="248"/>
      <c r="L625" s="248"/>
      <c r="M625" s="248"/>
      <c r="N625" s="248"/>
      <c r="O625" s="248"/>
      <c r="P625" s="248"/>
      <c r="Q625" s="248"/>
      <c r="R625" s="248"/>
      <c r="S625" s="248"/>
      <c r="T625" s="248"/>
      <c r="U625" s="248"/>
      <c r="V625" s="248"/>
      <c r="W625" s="248"/>
      <c r="X625" s="248"/>
      <c r="Y625" s="248"/>
      <c r="Z625" s="248"/>
      <c r="AA625" s="248"/>
      <c r="AB625" s="248"/>
    </row>
    <row r="626" spans="2:28" ht="15.75">
      <c r="B626" s="248"/>
      <c r="C626" s="248"/>
      <c r="D626" s="248"/>
      <c r="E626" s="248"/>
      <c r="F626" s="248"/>
      <c r="G626" s="248"/>
      <c r="H626" s="248"/>
      <c r="I626" s="248"/>
      <c r="J626" s="248"/>
      <c r="K626" s="248"/>
      <c r="L626" s="248"/>
      <c r="M626" s="248"/>
      <c r="N626" s="248"/>
      <c r="O626" s="248"/>
      <c r="P626" s="248"/>
      <c r="Q626" s="248"/>
      <c r="R626" s="248"/>
      <c r="S626" s="248"/>
      <c r="T626" s="248"/>
      <c r="U626" s="248"/>
      <c r="V626" s="248"/>
      <c r="W626" s="248"/>
      <c r="X626" s="248"/>
      <c r="Y626" s="248"/>
      <c r="Z626" s="248"/>
      <c r="AA626" s="248"/>
      <c r="AB626" s="248"/>
    </row>
    <row r="627" spans="2:28" ht="15.75">
      <c r="B627" s="248"/>
      <c r="C627" s="248"/>
      <c r="D627" s="248"/>
      <c r="E627" s="248"/>
      <c r="F627" s="248"/>
      <c r="G627" s="248"/>
      <c r="H627" s="248"/>
      <c r="I627" s="248"/>
      <c r="J627" s="248"/>
      <c r="K627" s="248"/>
      <c r="L627" s="248"/>
      <c r="M627" s="248"/>
      <c r="N627" s="248"/>
      <c r="O627" s="248"/>
      <c r="P627" s="248"/>
      <c r="Q627" s="248"/>
      <c r="R627" s="248"/>
      <c r="S627" s="248"/>
      <c r="T627" s="248"/>
      <c r="U627" s="248"/>
      <c r="V627" s="248"/>
      <c r="W627" s="248"/>
      <c r="X627" s="248"/>
      <c r="Y627" s="248"/>
      <c r="Z627" s="248"/>
      <c r="AA627" s="248"/>
      <c r="AB627" s="248"/>
    </row>
    <row r="628" spans="2:28" ht="15.75">
      <c r="B628" s="248"/>
      <c r="C628" s="248"/>
      <c r="D628" s="248"/>
      <c r="E628" s="248"/>
      <c r="F628" s="248"/>
      <c r="G628" s="248"/>
      <c r="H628" s="248"/>
      <c r="I628" s="248"/>
      <c r="J628" s="248"/>
      <c r="K628" s="248"/>
      <c r="L628" s="248"/>
      <c r="M628" s="248"/>
      <c r="N628" s="248"/>
      <c r="O628" s="248"/>
      <c r="P628" s="248"/>
      <c r="Q628" s="248"/>
      <c r="R628" s="248"/>
      <c r="S628" s="248"/>
      <c r="T628" s="248"/>
      <c r="U628" s="248"/>
      <c r="V628" s="248"/>
      <c r="W628" s="248"/>
      <c r="X628" s="248"/>
      <c r="Y628" s="248"/>
      <c r="Z628" s="248"/>
      <c r="AA628" s="248"/>
      <c r="AB628" s="248"/>
    </row>
    <row r="629" spans="2:28" ht="15.75">
      <c r="B629" s="248"/>
      <c r="C629" s="248"/>
      <c r="D629" s="248"/>
      <c r="E629" s="248"/>
      <c r="F629" s="248"/>
      <c r="G629" s="248"/>
      <c r="H629" s="248"/>
      <c r="I629" s="248"/>
      <c r="J629" s="248"/>
      <c r="K629" s="248"/>
      <c r="L629" s="248"/>
      <c r="M629" s="248"/>
      <c r="N629" s="248"/>
      <c r="O629" s="248"/>
      <c r="P629" s="248"/>
      <c r="Q629" s="248"/>
      <c r="R629" s="248"/>
      <c r="S629" s="248"/>
      <c r="T629" s="248"/>
      <c r="U629" s="248"/>
      <c r="V629" s="248"/>
      <c r="W629" s="248"/>
      <c r="X629" s="248"/>
      <c r="Y629" s="248"/>
      <c r="Z629" s="248"/>
      <c r="AA629" s="248"/>
      <c r="AB629" s="248"/>
    </row>
    <row r="630" spans="2:28" ht="15.75">
      <c r="B630" s="248"/>
      <c r="C630" s="248"/>
      <c r="D630" s="248"/>
      <c r="E630" s="248"/>
      <c r="F630" s="248"/>
      <c r="G630" s="248"/>
      <c r="H630" s="248"/>
      <c r="I630" s="248"/>
      <c r="J630" s="248"/>
      <c r="K630" s="248"/>
      <c r="L630" s="248"/>
      <c r="M630" s="248"/>
      <c r="N630" s="248"/>
      <c r="O630" s="248"/>
      <c r="P630" s="248"/>
      <c r="Q630" s="248"/>
      <c r="R630" s="248"/>
      <c r="S630" s="248"/>
      <c r="T630" s="248"/>
      <c r="U630" s="248"/>
      <c r="V630" s="248"/>
      <c r="W630" s="248"/>
      <c r="X630" s="248"/>
      <c r="Y630" s="248"/>
      <c r="Z630" s="248"/>
      <c r="AA630" s="248"/>
      <c r="AB630" s="248"/>
    </row>
    <row r="631" spans="2:28" ht="15.75">
      <c r="B631" s="248"/>
      <c r="C631" s="248"/>
      <c r="D631" s="248"/>
      <c r="E631" s="248"/>
      <c r="F631" s="248"/>
      <c r="G631" s="248"/>
      <c r="H631" s="248"/>
      <c r="I631" s="248"/>
      <c r="J631" s="248"/>
      <c r="K631" s="248"/>
      <c r="L631" s="248"/>
      <c r="M631" s="248"/>
      <c r="N631" s="248"/>
      <c r="O631" s="248"/>
      <c r="P631" s="248"/>
      <c r="Q631" s="248"/>
      <c r="R631" s="248"/>
      <c r="S631" s="248"/>
      <c r="T631" s="248"/>
      <c r="U631" s="248"/>
      <c r="V631" s="248"/>
      <c r="W631" s="248"/>
      <c r="X631" s="248"/>
      <c r="Y631" s="248"/>
      <c r="Z631" s="248"/>
      <c r="AA631" s="248"/>
      <c r="AB631" s="248"/>
    </row>
    <row r="632" spans="2:28" ht="15.75">
      <c r="B632" s="248"/>
      <c r="C632" s="248"/>
      <c r="D632" s="248"/>
      <c r="E632" s="248"/>
      <c r="F632" s="248"/>
      <c r="G632" s="248"/>
      <c r="H632" s="248"/>
      <c r="I632" s="248"/>
      <c r="J632" s="248"/>
      <c r="K632" s="248"/>
      <c r="L632" s="248"/>
      <c r="M632" s="248"/>
      <c r="N632" s="248"/>
      <c r="O632" s="248"/>
      <c r="P632" s="248"/>
      <c r="Q632" s="248"/>
      <c r="R632" s="248"/>
      <c r="S632" s="248"/>
      <c r="T632" s="248"/>
      <c r="U632" s="248"/>
      <c r="V632" s="248"/>
      <c r="W632" s="248"/>
      <c r="X632" s="248"/>
      <c r="Y632" s="248"/>
      <c r="Z632" s="248"/>
      <c r="AA632" s="248"/>
      <c r="AB632" s="248"/>
    </row>
    <row r="633" spans="2:28" ht="15.75">
      <c r="B633" s="248"/>
      <c r="C633" s="248"/>
      <c r="D633" s="248"/>
      <c r="E633" s="248"/>
      <c r="F633" s="248"/>
      <c r="G633" s="248"/>
      <c r="H633" s="248"/>
      <c r="I633" s="248"/>
      <c r="J633" s="248"/>
      <c r="K633" s="248"/>
      <c r="L633" s="248"/>
      <c r="M633" s="248"/>
      <c r="N633" s="248"/>
      <c r="O633" s="248"/>
      <c r="P633" s="248"/>
      <c r="Q633" s="248"/>
      <c r="R633" s="248"/>
      <c r="S633" s="248"/>
      <c r="T633" s="248"/>
      <c r="U633" s="248"/>
      <c r="V633" s="248"/>
      <c r="W633" s="248"/>
      <c r="X633" s="248"/>
      <c r="Y633" s="248"/>
      <c r="Z633" s="248"/>
      <c r="AA633" s="248"/>
      <c r="AB633" s="248"/>
    </row>
    <row r="634" spans="2:28" ht="15.75">
      <c r="B634" s="248"/>
      <c r="C634" s="248"/>
      <c r="D634" s="248"/>
      <c r="E634" s="248"/>
      <c r="F634" s="248"/>
      <c r="G634" s="248"/>
      <c r="H634" s="248"/>
      <c r="I634" s="248"/>
      <c r="J634" s="248"/>
      <c r="K634" s="248"/>
      <c r="L634" s="248"/>
      <c r="M634" s="248"/>
      <c r="N634" s="248"/>
      <c r="O634" s="248"/>
      <c r="P634" s="248"/>
      <c r="Q634" s="248"/>
      <c r="R634" s="248"/>
      <c r="S634" s="248"/>
      <c r="T634" s="248"/>
      <c r="U634" s="248"/>
      <c r="V634" s="248"/>
      <c r="W634" s="248"/>
      <c r="X634" s="248"/>
      <c r="Y634" s="248"/>
      <c r="Z634" s="248"/>
      <c r="AA634" s="248"/>
      <c r="AB634" s="248"/>
    </row>
    <row r="635" spans="2:28" ht="15.75">
      <c r="B635" s="248"/>
      <c r="C635" s="248"/>
      <c r="D635" s="248"/>
      <c r="E635" s="248"/>
      <c r="F635" s="248"/>
      <c r="G635" s="248"/>
      <c r="H635" s="248"/>
      <c r="I635" s="248"/>
      <c r="J635" s="248"/>
      <c r="K635" s="248"/>
      <c r="L635" s="248"/>
      <c r="M635" s="248"/>
      <c r="N635" s="248"/>
      <c r="O635" s="248"/>
      <c r="P635" s="248"/>
      <c r="Q635" s="248"/>
      <c r="R635" s="248"/>
      <c r="S635" s="248"/>
      <c r="T635" s="248"/>
      <c r="U635" s="248"/>
      <c r="V635" s="248"/>
      <c r="W635" s="248"/>
      <c r="X635" s="248"/>
      <c r="Y635" s="248"/>
      <c r="Z635" s="248"/>
      <c r="AA635" s="248"/>
      <c r="AB635" s="248"/>
    </row>
    <row r="636" spans="2:28" ht="15.75">
      <c r="B636" s="248"/>
      <c r="C636" s="248"/>
      <c r="D636" s="248"/>
      <c r="E636" s="248"/>
      <c r="F636" s="248"/>
      <c r="G636" s="248"/>
      <c r="H636" s="248"/>
      <c r="I636" s="248"/>
      <c r="J636" s="248"/>
      <c r="K636" s="248"/>
      <c r="L636" s="248"/>
      <c r="M636" s="248"/>
      <c r="N636" s="248"/>
      <c r="O636" s="248"/>
      <c r="P636" s="248"/>
      <c r="Q636" s="248"/>
      <c r="R636" s="248"/>
      <c r="S636" s="248"/>
      <c r="T636" s="248"/>
      <c r="U636" s="248"/>
      <c r="V636" s="248"/>
      <c r="W636" s="248"/>
      <c r="X636" s="248"/>
      <c r="Y636" s="248"/>
      <c r="Z636" s="248"/>
      <c r="AA636" s="248"/>
      <c r="AB636" s="248"/>
    </row>
    <row r="637" spans="2:28" ht="15.75">
      <c r="B637" s="248"/>
      <c r="C637" s="248"/>
      <c r="D637" s="248"/>
      <c r="E637" s="248"/>
      <c r="F637" s="248"/>
      <c r="G637" s="248"/>
      <c r="H637" s="248"/>
      <c r="I637" s="248"/>
      <c r="J637" s="248"/>
      <c r="K637" s="248"/>
      <c r="L637" s="248"/>
      <c r="M637" s="248"/>
      <c r="N637" s="248"/>
      <c r="O637" s="248"/>
      <c r="P637" s="248"/>
      <c r="Q637" s="248"/>
      <c r="R637" s="248"/>
      <c r="S637" s="248"/>
      <c r="T637" s="248"/>
      <c r="U637" s="248"/>
      <c r="V637" s="248"/>
      <c r="W637" s="248"/>
      <c r="X637" s="248"/>
      <c r="Y637" s="248"/>
      <c r="Z637" s="248"/>
      <c r="AA637" s="248"/>
      <c r="AB637" s="248"/>
    </row>
    <row r="638" spans="2:28" ht="15.75">
      <c r="B638" s="248"/>
      <c r="C638" s="248"/>
      <c r="D638" s="248"/>
      <c r="E638" s="248"/>
      <c r="F638" s="248"/>
      <c r="G638" s="248"/>
      <c r="H638" s="248"/>
      <c r="I638" s="248"/>
      <c r="J638" s="248"/>
      <c r="K638" s="248"/>
      <c r="L638" s="248"/>
      <c r="M638" s="248"/>
      <c r="N638" s="248"/>
      <c r="O638" s="248"/>
      <c r="P638" s="248"/>
      <c r="Q638" s="248"/>
      <c r="R638" s="248"/>
      <c r="S638" s="248"/>
      <c r="T638" s="248"/>
      <c r="U638" s="248"/>
      <c r="V638" s="248"/>
      <c r="W638" s="248"/>
      <c r="X638" s="248"/>
      <c r="Y638" s="248"/>
      <c r="Z638" s="248"/>
      <c r="AA638" s="248"/>
      <c r="AB638" s="248"/>
    </row>
    <row r="639" spans="2:28" ht="15.75">
      <c r="B639" s="248"/>
      <c r="C639" s="248"/>
      <c r="D639" s="248"/>
      <c r="E639" s="248"/>
      <c r="F639" s="248"/>
      <c r="G639" s="248"/>
      <c r="H639" s="248"/>
      <c r="I639" s="248"/>
      <c r="J639" s="248"/>
      <c r="K639" s="248"/>
      <c r="L639" s="248"/>
      <c r="M639" s="248"/>
      <c r="N639" s="248"/>
      <c r="O639" s="248"/>
      <c r="P639" s="248"/>
      <c r="Q639" s="248"/>
      <c r="R639" s="248"/>
      <c r="S639" s="248"/>
      <c r="T639" s="248"/>
      <c r="U639" s="248"/>
      <c r="V639" s="248"/>
      <c r="W639" s="248"/>
      <c r="X639" s="248"/>
      <c r="Y639" s="248"/>
      <c r="Z639" s="248"/>
      <c r="AA639" s="248"/>
      <c r="AB639" s="248"/>
    </row>
    <row r="640" spans="2:28" ht="15.75">
      <c r="B640" s="248"/>
      <c r="C640" s="248"/>
      <c r="D640" s="248"/>
      <c r="E640" s="248"/>
      <c r="F640" s="248"/>
      <c r="G640" s="248"/>
      <c r="H640" s="248"/>
      <c r="I640" s="248"/>
      <c r="J640" s="248"/>
      <c r="K640" s="248"/>
      <c r="L640" s="248"/>
      <c r="M640" s="248"/>
      <c r="N640" s="248"/>
      <c r="O640" s="248"/>
      <c r="P640" s="248"/>
      <c r="Q640" s="248"/>
      <c r="R640" s="248"/>
      <c r="S640" s="248"/>
      <c r="T640" s="248"/>
      <c r="U640" s="248"/>
      <c r="V640" s="248"/>
      <c r="W640" s="248"/>
      <c r="X640" s="248"/>
      <c r="Y640" s="248"/>
      <c r="Z640" s="248"/>
      <c r="AA640" s="248"/>
      <c r="AB640" s="248"/>
    </row>
    <row r="641" spans="2:28" ht="15.75">
      <c r="B641" s="248"/>
      <c r="C641" s="248"/>
      <c r="D641" s="248"/>
      <c r="E641" s="248"/>
      <c r="F641" s="248"/>
      <c r="G641" s="248"/>
      <c r="H641" s="248"/>
      <c r="I641" s="248"/>
      <c r="J641" s="248"/>
      <c r="K641" s="248"/>
      <c r="L641" s="248"/>
      <c r="M641" s="248"/>
      <c r="N641" s="248"/>
      <c r="O641" s="248"/>
      <c r="P641" s="248"/>
      <c r="Q641" s="248"/>
      <c r="R641" s="248"/>
      <c r="S641" s="248"/>
      <c r="T641" s="248"/>
      <c r="U641" s="248"/>
      <c r="V641" s="248"/>
      <c r="W641" s="248"/>
      <c r="X641" s="248"/>
      <c r="Y641" s="248"/>
      <c r="Z641" s="248"/>
      <c r="AA641" s="248"/>
      <c r="AB641" s="248"/>
    </row>
    <row r="642" spans="2:28" ht="15.75">
      <c r="B642" s="248"/>
      <c r="C642" s="248"/>
      <c r="D642" s="248"/>
      <c r="E642" s="248"/>
      <c r="F642" s="248"/>
      <c r="G642" s="248"/>
      <c r="H642" s="248"/>
      <c r="I642" s="248"/>
      <c r="J642" s="248"/>
      <c r="K642" s="248"/>
      <c r="L642" s="248"/>
      <c r="M642" s="248"/>
      <c r="N642" s="248"/>
      <c r="O642" s="248"/>
      <c r="P642" s="248"/>
      <c r="Q642" s="248"/>
      <c r="R642" s="248"/>
      <c r="S642" s="248"/>
      <c r="T642" s="248"/>
      <c r="U642" s="248"/>
      <c r="V642" s="248"/>
      <c r="W642" s="248"/>
      <c r="X642" s="248"/>
      <c r="Y642" s="248"/>
      <c r="Z642" s="248"/>
      <c r="AA642" s="248"/>
      <c r="AB642" s="248"/>
    </row>
    <row r="643" spans="2:28" ht="15.75">
      <c r="B643" s="248"/>
      <c r="C643" s="248"/>
      <c r="D643" s="248"/>
      <c r="E643" s="248"/>
      <c r="F643" s="248"/>
      <c r="G643" s="248"/>
      <c r="H643" s="248"/>
      <c r="I643" s="248"/>
      <c r="J643" s="248"/>
      <c r="K643" s="248"/>
      <c r="L643" s="248"/>
      <c r="M643" s="248"/>
      <c r="N643" s="248"/>
      <c r="O643" s="248"/>
      <c r="P643" s="248"/>
      <c r="Q643" s="248"/>
      <c r="R643" s="248"/>
      <c r="S643" s="248"/>
      <c r="T643" s="248"/>
      <c r="U643" s="248"/>
      <c r="V643" s="248"/>
      <c r="W643" s="248"/>
      <c r="X643" s="248"/>
      <c r="Y643" s="248"/>
      <c r="Z643" s="248"/>
      <c r="AA643" s="248"/>
      <c r="AB643" s="248"/>
    </row>
    <row r="644" spans="2:28" ht="15.75">
      <c r="B644" s="248"/>
      <c r="C644" s="248"/>
      <c r="D644" s="248"/>
      <c r="E644" s="248"/>
      <c r="F644" s="248"/>
      <c r="G644" s="248"/>
      <c r="H644" s="248"/>
      <c r="I644" s="248"/>
      <c r="J644" s="248"/>
      <c r="K644" s="248"/>
      <c r="L644" s="248"/>
      <c r="M644" s="248"/>
      <c r="N644" s="248"/>
      <c r="O644" s="248"/>
      <c r="P644" s="248"/>
      <c r="Q644" s="248"/>
      <c r="R644" s="248"/>
      <c r="S644" s="248"/>
      <c r="T644" s="248"/>
      <c r="U644" s="248"/>
      <c r="V644" s="248"/>
      <c r="W644" s="248"/>
      <c r="X644" s="248"/>
      <c r="Y644" s="248"/>
      <c r="Z644" s="248"/>
      <c r="AA644" s="248"/>
      <c r="AB644" s="248"/>
    </row>
    <row r="645" spans="2:28" ht="15.75">
      <c r="B645" s="248"/>
      <c r="C645" s="248"/>
      <c r="D645" s="248"/>
      <c r="E645" s="248"/>
      <c r="F645" s="248"/>
      <c r="G645" s="248"/>
      <c r="H645" s="248"/>
      <c r="I645" s="248"/>
      <c r="J645" s="248"/>
      <c r="K645" s="248"/>
      <c r="L645" s="248"/>
      <c r="M645" s="248"/>
      <c r="N645" s="248"/>
      <c r="O645" s="248"/>
      <c r="P645" s="248"/>
      <c r="Q645" s="248"/>
      <c r="R645" s="248"/>
      <c r="S645" s="248"/>
      <c r="T645" s="248"/>
      <c r="U645" s="248"/>
      <c r="V645" s="248"/>
      <c r="W645" s="248"/>
      <c r="X645" s="248"/>
      <c r="Y645" s="248"/>
      <c r="Z645" s="248"/>
      <c r="AA645" s="248"/>
      <c r="AB645" s="248"/>
    </row>
    <row r="646" spans="2:28" ht="15.75">
      <c r="B646" s="248"/>
      <c r="C646" s="248"/>
      <c r="D646" s="248"/>
      <c r="E646" s="248"/>
      <c r="F646" s="248"/>
      <c r="G646" s="248"/>
      <c r="H646" s="248"/>
      <c r="I646" s="248"/>
      <c r="J646" s="248"/>
      <c r="K646" s="248"/>
      <c r="L646" s="248"/>
      <c r="M646" s="248"/>
      <c r="N646" s="248"/>
      <c r="O646" s="248"/>
      <c r="P646" s="248"/>
      <c r="Q646" s="248"/>
      <c r="R646" s="248"/>
      <c r="S646" s="248"/>
      <c r="T646" s="248"/>
      <c r="U646" s="248"/>
      <c r="V646" s="248"/>
      <c r="W646" s="248"/>
      <c r="X646" s="248"/>
      <c r="Y646" s="248"/>
      <c r="Z646" s="248"/>
      <c r="AA646" s="248"/>
      <c r="AB646" s="248"/>
    </row>
    <row r="647" spans="2:28" ht="15.75">
      <c r="B647" s="248"/>
      <c r="C647" s="248"/>
      <c r="D647" s="248"/>
      <c r="E647" s="248"/>
      <c r="F647" s="248"/>
      <c r="G647" s="248"/>
      <c r="H647" s="248"/>
      <c r="I647" s="248"/>
      <c r="J647" s="248"/>
      <c r="K647" s="248"/>
      <c r="L647" s="248"/>
      <c r="M647" s="248"/>
      <c r="N647" s="248"/>
      <c r="O647" s="248"/>
      <c r="P647" s="248"/>
      <c r="Q647" s="248"/>
      <c r="R647" s="248"/>
      <c r="S647" s="248"/>
      <c r="T647" s="248"/>
      <c r="U647" s="248"/>
      <c r="V647" s="248"/>
      <c r="W647" s="248"/>
      <c r="X647" s="248"/>
      <c r="Y647" s="248"/>
      <c r="Z647" s="248"/>
      <c r="AA647" s="248"/>
      <c r="AB647" s="248"/>
    </row>
    <row r="648" spans="2:28" ht="15.75">
      <c r="B648" s="248"/>
      <c r="C648" s="248"/>
      <c r="D648" s="248"/>
      <c r="E648" s="248"/>
      <c r="F648" s="248"/>
      <c r="G648" s="248"/>
      <c r="H648" s="248"/>
      <c r="I648" s="248"/>
      <c r="J648" s="248"/>
      <c r="K648" s="248"/>
      <c r="L648" s="248"/>
      <c r="M648" s="248"/>
      <c r="N648" s="248"/>
      <c r="O648" s="248"/>
      <c r="P648" s="248"/>
      <c r="Q648" s="248"/>
      <c r="R648" s="248"/>
      <c r="S648" s="248"/>
      <c r="T648" s="248"/>
      <c r="U648" s="248"/>
      <c r="V648" s="248"/>
      <c r="W648" s="248"/>
      <c r="X648" s="248"/>
      <c r="Y648" s="248"/>
      <c r="Z648" s="248"/>
      <c r="AA648" s="248"/>
      <c r="AB648" s="248"/>
    </row>
    <row r="649" spans="2:28" ht="15.75">
      <c r="B649" s="248"/>
      <c r="C649" s="248"/>
      <c r="D649" s="248"/>
      <c r="E649" s="248"/>
      <c r="F649" s="248"/>
      <c r="G649" s="248"/>
      <c r="H649" s="248"/>
      <c r="I649" s="248"/>
      <c r="J649" s="248"/>
      <c r="K649" s="248"/>
      <c r="L649" s="248"/>
      <c r="M649" s="248"/>
      <c r="N649" s="248"/>
      <c r="O649" s="248"/>
      <c r="P649" s="248"/>
      <c r="Q649" s="248"/>
      <c r="R649" s="248"/>
      <c r="S649" s="248"/>
      <c r="T649" s="248"/>
      <c r="U649" s="248"/>
      <c r="V649" s="248"/>
      <c r="W649" s="248"/>
      <c r="X649" s="248"/>
      <c r="Y649" s="248"/>
      <c r="Z649" s="248"/>
      <c r="AA649" s="248"/>
      <c r="AB649" s="248"/>
    </row>
    <row r="650" spans="2:28" ht="15.75">
      <c r="B650" s="248"/>
      <c r="C650" s="248"/>
      <c r="D650" s="248"/>
      <c r="E650" s="248"/>
      <c r="F650" s="248"/>
      <c r="G650" s="248"/>
      <c r="H650" s="248"/>
      <c r="I650" s="248"/>
      <c r="J650" s="248"/>
      <c r="K650" s="248"/>
      <c r="L650" s="248"/>
      <c r="M650" s="248"/>
      <c r="N650" s="248"/>
      <c r="O650" s="248"/>
      <c r="P650" s="248"/>
      <c r="Q650" s="248"/>
      <c r="R650" s="248"/>
      <c r="S650" s="248"/>
      <c r="T650" s="248"/>
      <c r="U650" s="248"/>
      <c r="V650" s="248"/>
      <c r="W650" s="248"/>
      <c r="X650" s="248"/>
      <c r="Y650" s="248"/>
      <c r="Z650" s="248"/>
      <c r="AA650" s="248"/>
      <c r="AB650" s="248"/>
    </row>
    <row r="651" spans="2:28" ht="15.75">
      <c r="B651" s="248"/>
      <c r="C651" s="248"/>
      <c r="D651" s="248"/>
      <c r="E651" s="248"/>
      <c r="F651" s="248"/>
      <c r="G651" s="248"/>
      <c r="H651" s="248"/>
      <c r="I651" s="248"/>
      <c r="J651" s="248"/>
      <c r="K651" s="248"/>
      <c r="L651" s="248"/>
      <c r="M651" s="248"/>
      <c r="N651" s="248"/>
      <c r="O651" s="248"/>
      <c r="P651" s="248"/>
      <c r="Q651" s="248"/>
      <c r="R651" s="248"/>
      <c r="S651" s="248"/>
      <c r="T651" s="248"/>
      <c r="U651" s="248"/>
      <c r="V651" s="248"/>
      <c r="W651" s="248"/>
      <c r="X651" s="248"/>
      <c r="Y651" s="248"/>
      <c r="Z651" s="248"/>
      <c r="AA651" s="248"/>
      <c r="AB651" s="248"/>
    </row>
    <row r="652" spans="2:28" ht="15.75">
      <c r="B652" s="248"/>
      <c r="C652" s="248"/>
      <c r="D652" s="248"/>
      <c r="E652" s="248"/>
      <c r="F652" s="248"/>
      <c r="G652" s="248"/>
      <c r="H652" s="248"/>
      <c r="I652" s="248"/>
      <c r="J652" s="248"/>
      <c r="K652" s="248"/>
      <c r="L652" s="248"/>
      <c r="M652" s="248"/>
      <c r="N652" s="248"/>
      <c r="O652" s="248"/>
      <c r="P652" s="248"/>
      <c r="Q652" s="248"/>
      <c r="R652" s="248"/>
      <c r="S652" s="248"/>
      <c r="T652" s="248"/>
      <c r="U652" s="248"/>
      <c r="V652" s="248"/>
      <c r="W652" s="248"/>
      <c r="X652" s="248"/>
      <c r="Y652" s="248"/>
      <c r="Z652" s="248"/>
      <c r="AA652" s="248"/>
      <c r="AB652" s="248"/>
    </row>
    <row r="653" spans="2:28" ht="15.75">
      <c r="B653" s="248"/>
      <c r="C653" s="248"/>
      <c r="D653" s="248"/>
      <c r="E653" s="248"/>
      <c r="F653" s="248"/>
      <c r="G653" s="248"/>
      <c r="H653" s="248"/>
      <c r="I653" s="248"/>
      <c r="J653" s="248"/>
      <c r="K653" s="248"/>
      <c r="L653" s="248"/>
      <c r="M653" s="248"/>
      <c r="N653" s="248"/>
      <c r="O653" s="248"/>
      <c r="P653" s="248"/>
      <c r="Q653" s="248"/>
      <c r="R653" s="248"/>
      <c r="S653" s="248"/>
      <c r="T653" s="248"/>
      <c r="U653" s="248"/>
      <c r="V653" s="248"/>
      <c r="W653" s="248"/>
      <c r="X653" s="248"/>
      <c r="Y653" s="248"/>
      <c r="Z653" s="248"/>
      <c r="AA653" s="248"/>
      <c r="AB653" s="248"/>
    </row>
    <row r="654" spans="2:28" ht="15.75">
      <c r="B654" s="248"/>
      <c r="C654" s="248"/>
      <c r="D654" s="248"/>
      <c r="E654" s="248"/>
      <c r="F654" s="248"/>
      <c r="G654" s="248"/>
      <c r="H654" s="248"/>
      <c r="I654" s="248"/>
      <c r="J654" s="248"/>
      <c r="K654" s="248"/>
      <c r="L654" s="248"/>
      <c r="M654" s="248"/>
      <c r="N654" s="248"/>
      <c r="O654" s="248"/>
      <c r="P654" s="248"/>
      <c r="Q654" s="248"/>
      <c r="R654" s="248"/>
      <c r="S654" s="248"/>
      <c r="T654" s="248"/>
      <c r="U654" s="248"/>
      <c r="V654" s="248"/>
      <c r="W654" s="248"/>
      <c r="X654" s="248"/>
      <c r="Y654" s="248"/>
      <c r="Z654" s="248"/>
      <c r="AA654" s="248"/>
      <c r="AB654" s="248"/>
    </row>
    <row r="655" spans="2:28" ht="15.75">
      <c r="B655" s="248"/>
      <c r="C655" s="248"/>
      <c r="D655" s="248"/>
      <c r="E655" s="248"/>
      <c r="F655" s="248"/>
      <c r="G655" s="248"/>
      <c r="H655" s="248"/>
      <c r="I655" s="248"/>
      <c r="J655" s="248"/>
      <c r="K655" s="248"/>
      <c r="L655" s="248"/>
      <c r="M655" s="248"/>
      <c r="N655" s="248"/>
      <c r="O655" s="248"/>
      <c r="P655" s="248"/>
      <c r="Q655" s="248"/>
      <c r="R655" s="248"/>
      <c r="S655" s="248"/>
      <c r="T655" s="248"/>
      <c r="U655" s="248"/>
      <c r="V655" s="248"/>
      <c r="W655" s="248"/>
      <c r="X655" s="248"/>
      <c r="Y655" s="248"/>
      <c r="Z655" s="248"/>
      <c r="AA655" s="248"/>
      <c r="AB655" s="248"/>
    </row>
    <row r="656" spans="2:28" ht="15.75">
      <c r="B656" s="248"/>
      <c r="C656" s="248"/>
      <c r="D656" s="248"/>
      <c r="E656" s="248"/>
      <c r="F656" s="248"/>
      <c r="G656" s="248"/>
      <c r="H656" s="248"/>
      <c r="I656" s="248"/>
      <c r="J656" s="248"/>
      <c r="K656" s="248"/>
      <c r="L656" s="248"/>
      <c r="M656" s="248"/>
      <c r="N656" s="248"/>
      <c r="O656" s="248"/>
      <c r="P656" s="248"/>
      <c r="Q656" s="248"/>
      <c r="R656" s="248"/>
      <c r="S656" s="248"/>
      <c r="T656" s="248"/>
      <c r="U656" s="248"/>
      <c r="V656" s="248"/>
      <c r="W656" s="248"/>
      <c r="X656" s="248"/>
      <c r="Y656" s="248"/>
      <c r="Z656" s="248"/>
      <c r="AA656" s="248"/>
      <c r="AB656" s="248"/>
    </row>
    <row r="657" spans="2:28" ht="15.75">
      <c r="B657" s="248"/>
      <c r="C657" s="248"/>
      <c r="D657" s="248"/>
      <c r="E657" s="248"/>
      <c r="F657" s="248"/>
      <c r="G657" s="248"/>
      <c r="H657" s="248"/>
      <c r="I657" s="248"/>
      <c r="J657" s="248"/>
      <c r="K657" s="248"/>
      <c r="L657" s="248"/>
      <c r="M657" s="248"/>
      <c r="N657" s="248"/>
      <c r="O657" s="248"/>
      <c r="P657" s="248"/>
      <c r="Q657" s="248"/>
      <c r="R657" s="248"/>
      <c r="S657" s="248"/>
      <c r="T657" s="248"/>
      <c r="U657" s="248"/>
      <c r="V657" s="248"/>
      <c r="W657" s="248"/>
      <c r="X657" s="248"/>
      <c r="Y657" s="248"/>
      <c r="Z657" s="248"/>
      <c r="AA657" s="248"/>
      <c r="AB657" s="248"/>
    </row>
    <row r="658" spans="2:28" ht="15.75">
      <c r="B658" s="248"/>
      <c r="C658" s="248"/>
      <c r="D658" s="248"/>
      <c r="E658" s="248"/>
      <c r="F658" s="248"/>
      <c r="G658" s="248"/>
      <c r="H658" s="248"/>
      <c r="I658" s="248"/>
      <c r="J658" s="248"/>
      <c r="K658" s="248"/>
      <c r="L658" s="248"/>
      <c r="M658" s="248"/>
      <c r="N658" s="248"/>
      <c r="O658" s="248"/>
      <c r="P658" s="248"/>
      <c r="Q658" s="248"/>
      <c r="R658" s="248"/>
      <c r="S658" s="248"/>
      <c r="T658" s="248"/>
      <c r="U658" s="248"/>
      <c r="V658" s="248"/>
      <c r="W658" s="248"/>
      <c r="X658" s="248"/>
      <c r="Y658" s="248"/>
      <c r="Z658" s="248"/>
      <c r="AA658" s="248"/>
      <c r="AB658" s="248"/>
    </row>
    <row r="659" spans="2:28" ht="15.75">
      <c r="B659" s="248"/>
      <c r="C659" s="248"/>
      <c r="D659" s="248"/>
      <c r="E659" s="248"/>
      <c r="F659" s="248"/>
      <c r="G659" s="248"/>
      <c r="H659" s="248"/>
      <c r="I659" s="248"/>
      <c r="J659" s="248"/>
      <c r="K659" s="248"/>
      <c r="L659" s="248"/>
      <c r="M659" s="248"/>
      <c r="N659" s="248"/>
      <c r="O659" s="248"/>
      <c r="P659" s="248"/>
      <c r="Q659" s="248"/>
      <c r="R659" s="248"/>
      <c r="S659" s="248"/>
      <c r="T659" s="248"/>
      <c r="U659" s="248"/>
      <c r="V659" s="248"/>
      <c r="W659" s="248"/>
      <c r="X659" s="248"/>
      <c r="Y659" s="248"/>
      <c r="Z659" s="248"/>
      <c r="AA659" s="248"/>
      <c r="AB659" s="248"/>
    </row>
    <row r="660" spans="2:28" ht="15.75">
      <c r="B660" s="248"/>
      <c r="C660" s="248"/>
      <c r="D660" s="248"/>
      <c r="E660" s="248"/>
      <c r="F660" s="248"/>
      <c r="G660" s="248"/>
      <c r="H660" s="248"/>
      <c r="I660" s="248"/>
      <c r="J660" s="248"/>
      <c r="K660" s="248"/>
      <c r="L660" s="248"/>
      <c r="M660" s="248"/>
      <c r="N660" s="248"/>
      <c r="O660" s="248"/>
      <c r="P660" s="248"/>
      <c r="Q660" s="248"/>
      <c r="R660" s="248"/>
      <c r="S660" s="248"/>
      <c r="T660" s="248"/>
      <c r="U660" s="248"/>
      <c r="V660" s="248"/>
      <c r="W660" s="248"/>
      <c r="X660" s="248"/>
      <c r="Y660" s="248"/>
      <c r="Z660" s="248"/>
      <c r="AA660" s="248"/>
      <c r="AB660" s="248"/>
    </row>
    <row r="661" spans="2:28" ht="15.75">
      <c r="B661" s="248"/>
      <c r="C661" s="248"/>
      <c r="D661" s="248"/>
      <c r="E661" s="248"/>
      <c r="F661" s="248"/>
      <c r="G661" s="248"/>
      <c r="H661" s="248"/>
      <c r="I661" s="248"/>
      <c r="J661" s="248"/>
      <c r="K661" s="248"/>
      <c r="L661" s="248"/>
      <c r="M661" s="248"/>
      <c r="N661" s="248"/>
      <c r="O661" s="248"/>
      <c r="P661" s="248"/>
      <c r="Q661" s="248"/>
      <c r="R661" s="248"/>
      <c r="S661" s="248"/>
      <c r="T661" s="248"/>
      <c r="U661" s="248"/>
      <c r="V661" s="248"/>
      <c r="W661" s="248"/>
      <c r="X661" s="248"/>
      <c r="Y661" s="248"/>
      <c r="Z661" s="248"/>
      <c r="AA661" s="248"/>
      <c r="AB661" s="248"/>
    </row>
    <row r="662" spans="2:28" ht="15.75">
      <c r="B662" s="248"/>
      <c r="C662" s="248"/>
      <c r="D662" s="248"/>
      <c r="E662" s="248"/>
      <c r="F662" s="248"/>
      <c r="G662" s="248"/>
      <c r="H662" s="248"/>
      <c r="I662" s="248"/>
      <c r="J662" s="248"/>
      <c r="K662" s="248"/>
      <c r="L662" s="248"/>
      <c r="M662" s="248"/>
      <c r="N662" s="248"/>
      <c r="O662" s="248"/>
      <c r="P662" s="248"/>
      <c r="Q662" s="248"/>
      <c r="R662" s="248"/>
      <c r="S662" s="248"/>
      <c r="T662" s="248"/>
      <c r="U662" s="248"/>
      <c r="V662" s="248"/>
      <c r="W662" s="248"/>
      <c r="X662" s="248"/>
      <c r="Y662" s="248"/>
      <c r="Z662" s="248"/>
      <c r="AA662" s="248"/>
      <c r="AB662" s="248"/>
    </row>
    <row r="663" spans="2:28" ht="15.75">
      <c r="B663" s="248"/>
      <c r="C663" s="248"/>
      <c r="D663" s="248"/>
      <c r="E663" s="248"/>
      <c r="F663" s="248"/>
      <c r="G663" s="248"/>
      <c r="H663" s="248"/>
      <c r="I663" s="248"/>
      <c r="J663" s="248"/>
      <c r="K663" s="248"/>
      <c r="L663" s="248"/>
      <c r="M663" s="248"/>
      <c r="N663" s="248"/>
      <c r="O663" s="248"/>
      <c r="P663" s="248"/>
      <c r="Q663" s="248"/>
      <c r="R663" s="248"/>
      <c r="S663" s="248"/>
      <c r="T663" s="248"/>
      <c r="U663" s="248"/>
      <c r="V663" s="248"/>
      <c r="W663" s="248"/>
      <c r="X663" s="248"/>
      <c r="Y663" s="248"/>
      <c r="Z663" s="248"/>
      <c r="AA663" s="248"/>
      <c r="AB663" s="248"/>
    </row>
    <row r="664" spans="2:28" ht="15.75">
      <c r="B664" s="248"/>
      <c r="C664" s="248"/>
      <c r="D664" s="248"/>
      <c r="E664" s="248"/>
      <c r="F664" s="248"/>
      <c r="G664" s="248"/>
      <c r="H664" s="248"/>
      <c r="I664" s="248"/>
      <c r="J664" s="248"/>
      <c r="K664" s="248"/>
      <c r="L664" s="248"/>
      <c r="M664" s="248"/>
      <c r="N664" s="248"/>
      <c r="O664" s="248"/>
      <c r="P664" s="248"/>
      <c r="Q664" s="248"/>
      <c r="R664" s="248"/>
      <c r="S664" s="248"/>
      <c r="T664" s="248"/>
      <c r="U664" s="248"/>
      <c r="V664" s="248"/>
      <c r="W664" s="248"/>
      <c r="X664" s="248"/>
      <c r="Y664" s="248"/>
      <c r="Z664" s="248"/>
      <c r="AA664" s="248"/>
      <c r="AB664" s="248"/>
    </row>
    <row r="665" spans="2:28" ht="15.75">
      <c r="B665" s="248"/>
      <c r="C665" s="248"/>
      <c r="D665" s="248"/>
      <c r="E665" s="248"/>
      <c r="F665" s="248"/>
      <c r="G665" s="248"/>
      <c r="H665" s="248"/>
      <c r="I665" s="248"/>
      <c r="J665" s="248"/>
      <c r="K665" s="248"/>
      <c r="L665" s="248"/>
      <c r="M665" s="248"/>
      <c r="N665" s="248"/>
      <c r="O665" s="248"/>
      <c r="P665" s="248"/>
      <c r="Q665" s="248"/>
      <c r="R665" s="248"/>
      <c r="S665" s="248"/>
      <c r="T665" s="248"/>
      <c r="U665" s="248"/>
      <c r="V665" s="248"/>
      <c r="W665" s="248"/>
      <c r="X665" s="248"/>
      <c r="Y665" s="248"/>
      <c r="Z665" s="248"/>
      <c r="AA665" s="248"/>
      <c r="AB665" s="248"/>
    </row>
    <row r="666" spans="2:28" ht="15.75">
      <c r="B666" s="248"/>
      <c r="C666" s="248"/>
      <c r="D666" s="248"/>
      <c r="E666" s="248"/>
      <c r="F666" s="248"/>
      <c r="G666" s="248"/>
      <c r="H666" s="248"/>
      <c r="I666" s="248"/>
      <c r="J666" s="248"/>
      <c r="K666" s="248"/>
      <c r="L666" s="248"/>
      <c r="M666" s="248"/>
      <c r="N666" s="248"/>
      <c r="O666" s="248"/>
      <c r="P666" s="248"/>
      <c r="Q666" s="248"/>
      <c r="R666" s="248"/>
      <c r="S666" s="248"/>
      <c r="T666" s="248"/>
      <c r="U666" s="248"/>
      <c r="V666" s="248"/>
      <c r="W666" s="248"/>
      <c r="X666" s="248"/>
      <c r="Y666" s="248"/>
      <c r="Z666" s="248"/>
      <c r="AA666" s="248"/>
      <c r="AB666" s="248"/>
    </row>
    <row r="667" spans="2:28" ht="15.75">
      <c r="B667" s="248"/>
      <c r="C667" s="248"/>
      <c r="D667" s="248"/>
      <c r="E667" s="248"/>
      <c r="F667" s="248"/>
      <c r="G667" s="248"/>
      <c r="H667" s="248"/>
      <c r="I667" s="248"/>
      <c r="J667" s="248"/>
      <c r="K667" s="248"/>
      <c r="L667" s="248"/>
      <c r="M667" s="248"/>
      <c r="N667" s="248"/>
      <c r="O667" s="248"/>
      <c r="P667" s="248"/>
      <c r="Q667" s="248"/>
      <c r="R667" s="248"/>
      <c r="S667" s="248"/>
      <c r="T667" s="248"/>
      <c r="U667" s="248"/>
      <c r="V667" s="248"/>
      <c r="W667" s="248"/>
      <c r="X667" s="248"/>
      <c r="Y667" s="248"/>
      <c r="Z667" s="248"/>
      <c r="AA667" s="248"/>
      <c r="AB667" s="248"/>
    </row>
    <row r="668" spans="2:28" ht="15.75">
      <c r="B668" s="248"/>
      <c r="C668" s="248"/>
      <c r="D668" s="248"/>
      <c r="E668" s="248"/>
      <c r="F668" s="248"/>
      <c r="G668" s="248"/>
      <c r="H668" s="248"/>
      <c r="I668" s="248"/>
      <c r="J668" s="248"/>
      <c r="K668" s="248"/>
      <c r="L668" s="248"/>
      <c r="M668" s="248"/>
      <c r="N668" s="248"/>
      <c r="O668" s="248"/>
      <c r="P668" s="248"/>
      <c r="Q668" s="248"/>
      <c r="R668" s="248"/>
      <c r="S668" s="248"/>
      <c r="T668" s="248"/>
      <c r="U668" s="248"/>
      <c r="V668" s="248"/>
      <c r="W668" s="248"/>
      <c r="X668" s="248"/>
      <c r="Y668" s="248"/>
      <c r="Z668" s="248"/>
      <c r="AA668" s="248"/>
      <c r="AB668" s="248"/>
    </row>
    <row r="669" spans="2:28" ht="15.75">
      <c r="B669" s="248"/>
      <c r="C669" s="248"/>
      <c r="D669" s="248"/>
      <c r="E669" s="248"/>
      <c r="F669" s="248"/>
      <c r="G669" s="248"/>
      <c r="H669" s="248"/>
      <c r="I669" s="248"/>
      <c r="J669" s="248"/>
      <c r="K669" s="248"/>
      <c r="L669" s="248"/>
      <c r="M669" s="248"/>
      <c r="N669" s="248"/>
      <c r="O669" s="248"/>
      <c r="P669" s="248"/>
      <c r="Q669" s="248"/>
      <c r="R669" s="248"/>
      <c r="S669" s="248"/>
      <c r="T669" s="248"/>
      <c r="U669" s="248"/>
      <c r="V669" s="248"/>
      <c r="W669" s="248"/>
      <c r="X669" s="248"/>
      <c r="Y669" s="248"/>
      <c r="Z669" s="248"/>
      <c r="AA669" s="248"/>
      <c r="AB669" s="248"/>
    </row>
    <row r="670" spans="2:28" ht="15.75">
      <c r="B670" s="248"/>
      <c r="C670" s="248"/>
      <c r="D670" s="248"/>
      <c r="E670" s="248"/>
      <c r="F670" s="248"/>
      <c r="G670" s="248"/>
      <c r="H670" s="248"/>
      <c r="I670" s="248"/>
      <c r="J670" s="248"/>
      <c r="K670" s="248"/>
      <c r="L670" s="248"/>
      <c r="M670" s="248"/>
      <c r="N670" s="248"/>
      <c r="O670" s="248"/>
      <c r="P670" s="248"/>
      <c r="Q670" s="248"/>
      <c r="R670" s="248"/>
      <c r="S670" s="248"/>
      <c r="T670" s="248"/>
      <c r="U670" s="248"/>
      <c r="V670" s="248"/>
      <c r="W670" s="248"/>
      <c r="X670" s="248"/>
      <c r="Y670" s="248"/>
      <c r="Z670" s="248"/>
      <c r="AA670" s="248"/>
      <c r="AB670" s="248"/>
    </row>
    <row r="671" spans="2:28" ht="15.75">
      <c r="B671" s="248"/>
      <c r="C671" s="248"/>
      <c r="D671" s="248"/>
      <c r="E671" s="248"/>
      <c r="F671" s="248"/>
      <c r="G671" s="248"/>
      <c r="H671" s="248"/>
      <c r="I671" s="248"/>
      <c r="J671" s="248"/>
      <c r="K671" s="248"/>
      <c r="L671" s="248"/>
      <c r="M671" s="248"/>
      <c r="N671" s="248"/>
      <c r="O671" s="248"/>
      <c r="P671" s="248"/>
      <c r="Q671" s="248"/>
      <c r="R671" s="248"/>
      <c r="S671" s="248"/>
      <c r="T671" s="248"/>
      <c r="U671" s="248"/>
      <c r="V671" s="248"/>
      <c r="W671" s="248"/>
      <c r="X671" s="248"/>
      <c r="Y671" s="248"/>
      <c r="Z671" s="248"/>
      <c r="AA671" s="248"/>
      <c r="AB671" s="248"/>
    </row>
    <row r="672" spans="2:28" ht="15.75">
      <c r="B672" s="248"/>
      <c r="C672" s="248"/>
      <c r="D672" s="248"/>
      <c r="E672" s="248"/>
      <c r="F672" s="248"/>
      <c r="G672" s="248"/>
      <c r="H672" s="248"/>
      <c r="I672" s="248"/>
      <c r="J672" s="248"/>
      <c r="K672" s="248"/>
      <c r="L672" s="248"/>
      <c r="M672" s="248"/>
      <c r="N672" s="248"/>
      <c r="O672" s="248"/>
      <c r="P672" s="248"/>
      <c r="Q672" s="248"/>
      <c r="R672" s="248"/>
      <c r="S672" s="248"/>
      <c r="T672" s="248"/>
      <c r="U672" s="248"/>
      <c r="V672" s="248"/>
      <c r="W672" s="248"/>
      <c r="X672" s="248"/>
      <c r="Y672" s="248"/>
      <c r="Z672" s="248"/>
      <c r="AA672" s="248"/>
      <c r="AB672" s="248"/>
    </row>
    <row r="673" spans="2:28" ht="15.75">
      <c r="B673" s="248"/>
      <c r="C673" s="248"/>
      <c r="D673" s="248"/>
      <c r="E673" s="248"/>
      <c r="F673" s="248"/>
      <c r="G673" s="248"/>
      <c r="H673" s="248"/>
      <c r="I673" s="248"/>
      <c r="J673" s="248"/>
      <c r="K673" s="248"/>
      <c r="L673" s="248"/>
      <c r="M673" s="248"/>
      <c r="N673" s="248"/>
      <c r="O673" s="248"/>
      <c r="P673" s="248"/>
      <c r="Q673" s="248"/>
      <c r="R673" s="248"/>
      <c r="S673" s="248"/>
      <c r="T673" s="248"/>
      <c r="U673" s="248"/>
      <c r="V673" s="248"/>
      <c r="W673" s="248"/>
      <c r="X673" s="248"/>
      <c r="Y673" s="248"/>
      <c r="Z673" s="248"/>
      <c r="AA673" s="248"/>
      <c r="AB673" s="248"/>
    </row>
    <row r="674" spans="2:28" ht="15.75">
      <c r="B674" s="248"/>
      <c r="C674" s="248"/>
      <c r="D674" s="248"/>
      <c r="E674" s="248"/>
      <c r="F674" s="248"/>
      <c r="G674" s="248"/>
      <c r="H674" s="248"/>
      <c r="I674" s="248"/>
      <c r="J674" s="248"/>
      <c r="K674" s="248"/>
      <c r="L674" s="248"/>
      <c r="M674" s="248"/>
      <c r="N674" s="248"/>
      <c r="O674" s="248"/>
      <c r="P674" s="248"/>
      <c r="Q674" s="248"/>
      <c r="R674" s="248"/>
      <c r="S674" s="248"/>
      <c r="T674" s="248"/>
      <c r="U674" s="248"/>
      <c r="V674" s="248"/>
      <c r="W674" s="248"/>
      <c r="X674" s="248"/>
      <c r="Y674" s="248"/>
      <c r="Z674" s="248"/>
      <c r="AA674" s="248"/>
      <c r="AB674" s="248"/>
    </row>
    <row r="675" spans="2:28" ht="15.75">
      <c r="B675" s="248"/>
      <c r="C675" s="248"/>
      <c r="D675" s="248"/>
      <c r="E675" s="248"/>
      <c r="F675" s="248"/>
      <c r="G675" s="248"/>
      <c r="H675" s="248"/>
      <c r="I675" s="248"/>
      <c r="J675" s="248"/>
      <c r="K675" s="248"/>
      <c r="L675" s="248"/>
      <c r="M675" s="248"/>
      <c r="N675" s="248"/>
      <c r="O675" s="248"/>
      <c r="P675" s="248"/>
      <c r="Q675" s="248"/>
      <c r="R675" s="248"/>
      <c r="S675" s="248"/>
      <c r="T675" s="248"/>
      <c r="U675" s="248"/>
      <c r="V675" s="248"/>
      <c r="W675" s="248"/>
      <c r="X675" s="248"/>
      <c r="Y675" s="248"/>
      <c r="Z675" s="248"/>
      <c r="AA675" s="248"/>
      <c r="AB675" s="248"/>
    </row>
    <row r="676" spans="2:28" ht="15.75">
      <c r="B676" s="248"/>
      <c r="C676" s="248"/>
      <c r="D676" s="248"/>
      <c r="E676" s="248"/>
      <c r="F676" s="248"/>
      <c r="G676" s="248"/>
      <c r="H676" s="248"/>
      <c r="I676" s="248"/>
      <c r="J676" s="248"/>
      <c r="K676" s="248"/>
      <c r="L676" s="248"/>
      <c r="M676" s="248"/>
      <c r="N676" s="248"/>
      <c r="O676" s="248"/>
      <c r="P676" s="248"/>
      <c r="Q676" s="248"/>
      <c r="R676" s="248"/>
      <c r="S676" s="248"/>
      <c r="T676" s="248"/>
      <c r="U676" s="248"/>
      <c r="V676" s="248"/>
      <c r="W676" s="248"/>
      <c r="X676" s="248"/>
      <c r="Y676" s="248"/>
      <c r="Z676" s="248"/>
      <c r="AA676" s="248"/>
      <c r="AB676" s="248"/>
    </row>
    <row r="677" spans="2:28" ht="15.75">
      <c r="B677" s="248"/>
      <c r="C677" s="248"/>
      <c r="D677" s="248"/>
      <c r="E677" s="248"/>
      <c r="F677" s="248"/>
      <c r="G677" s="248"/>
      <c r="H677" s="248"/>
      <c r="I677" s="248"/>
      <c r="J677" s="248"/>
      <c r="K677" s="248"/>
      <c r="L677" s="248"/>
      <c r="M677" s="248"/>
      <c r="N677" s="248"/>
      <c r="O677" s="248"/>
      <c r="P677" s="248"/>
      <c r="Q677" s="248"/>
      <c r="R677" s="248"/>
      <c r="S677" s="248"/>
      <c r="T677" s="248"/>
      <c r="U677" s="248"/>
      <c r="V677" s="248"/>
      <c r="W677" s="248"/>
      <c r="X677" s="248"/>
      <c r="Y677" s="248"/>
      <c r="Z677" s="248"/>
      <c r="AA677" s="248"/>
      <c r="AB677" s="248"/>
    </row>
    <row r="678" spans="2:28" ht="15.75">
      <c r="B678" s="248"/>
      <c r="C678" s="248"/>
      <c r="D678" s="248"/>
      <c r="E678" s="248"/>
      <c r="F678" s="248"/>
      <c r="G678" s="248"/>
      <c r="H678" s="248"/>
      <c r="I678" s="248"/>
      <c r="J678" s="248"/>
      <c r="K678" s="248"/>
      <c r="L678" s="248"/>
      <c r="M678" s="248"/>
      <c r="N678" s="248"/>
      <c r="O678" s="248"/>
      <c r="P678" s="248"/>
      <c r="Q678" s="248"/>
      <c r="R678" s="248"/>
      <c r="S678" s="248"/>
      <c r="T678" s="248"/>
      <c r="U678" s="248"/>
      <c r="V678" s="248"/>
      <c r="W678" s="248"/>
      <c r="X678" s="248"/>
      <c r="Y678" s="248"/>
      <c r="Z678" s="248"/>
      <c r="AA678" s="248"/>
      <c r="AB678" s="248"/>
    </row>
    <row r="679" spans="2:28" ht="15.75">
      <c r="B679" s="248"/>
      <c r="C679" s="248"/>
      <c r="D679" s="248"/>
      <c r="E679" s="248"/>
      <c r="F679" s="248"/>
      <c r="G679" s="248"/>
      <c r="H679" s="248"/>
      <c r="I679" s="248"/>
      <c r="J679" s="248"/>
      <c r="K679" s="248"/>
      <c r="L679" s="248"/>
      <c r="M679" s="248"/>
      <c r="N679" s="248"/>
      <c r="O679" s="248"/>
      <c r="P679" s="248"/>
      <c r="Q679" s="248"/>
      <c r="R679" s="248"/>
      <c r="S679" s="248"/>
      <c r="T679" s="248"/>
      <c r="U679" s="248"/>
      <c r="V679" s="248"/>
      <c r="W679" s="248"/>
      <c r="X679" s="248"/>
      <c r="Y679" s="248"/>
      <c r="Z679" s="248"/>
      <c r="AA679" s="248"/>
      <c r="AB679" s="248"/>
    </row>
    <row r="680" spans="2:28" ht="15.75">
      <c r="B680" s="248"/>
      <c r="C680" s="248"/>
      <c r="D680" s="248"/>
      <c r="E680" s="248"/>
      <c r="F680" s="248"/>
      <c r="G680" s="248"/>
      <c r="H680" s="248"/>
      <c r="I680" s="248"/>
      <c r="J680" s="248"/>
      <c r="K680" s="248"/>
      <c r="L680" s="248"/>
      <c r="M680" s="248"/>
      <c r="N680" s="248"/>
      <c r="O680" s="248"/>
      <c r="P680" s="248"/>
      <c r="Q680" s="248"/>
      <c r="R680" s="248"/>
      <c r="S680" s="248"/>
      <c r="T680" s="248"/>
      <c r="U680" s="248"/>
      <c r="V680" s="248"/>
      <c r="W680" s="248"/>
      <c r="X680" s="248"/>
      <c r="Y680" s="248"/>
      <c r="Z680" s="248"/>
      <c r="AA680" s="248"/>
      <c r="AB680" s="248"/>
    </row>
    <row r="681" spans="2:28" ht="15.75">
      <c r="B681" s="248"/>
      <c r="C681" s="248"/>
      <c r="D681" s="248"/>
      <c r="E681" s="248"/>
      <c r="F681" s="248"/>
      <c r="G681" s="248"/>
      <c r="H681" s="248"/>
      <c r="I681" s="248"/>
      <c r="J681" s="248"/>
      <c r="K681" s="248"/>
      <c r="L681" s="248"/>
      <c r="M681" s="248"/>
      <c r="N681" s="248"/>
      <c r="O681" s="248"/>
      <c r="P681" s="248"/>
      <c r="Q681" s="248"/>
      <c r="R681" s="248"/>
      <c r="S681" s="248"/>
      <c r="T681" s="248"/>
      <c r="U681" s="248"/>
      <c r="V681" s="248"/>
      <c r="W681" s="248"/>
      <c r="X681" s="248"/>
      <c r="Y681" s="248"/>
      <c r="Z681" s="248"/>
      <c r="AA681" s="248"/>
      <c r="AB681" s="248"/>
    </row>
    <row r="682" spans="2:28" ht="15.75">
      <c r="B682" s="248"/>
      <c r="C682" s="248"/>
      <c r="D682" s="248"/>
      <c r="E682" s="248"/>
      <c r="F682" s="248"/>
      <c r="G682" s="248"/>
      <c r="H682" s="248"/>
      <c r="I682" s="248"/>
      <c r="J682" s="248"/>
      <c r="K682" s="248"/>
      <c r="L682" s="248"/>
      <c r="M682" s="248"/>
      <c r="N682" s="248"/>
      <c r="O682" s="248"/>
      <c r="P682" s="248"/>
      <c r="Q682" s="248"/>
      <c r="R682" s="248"/>
      <c r="S682" s="248"/>
      <c r="T682" s="248"/>
      <c r="U682" s="248"/>
      <c r="V682" s="248"/>
      <c r="W682" s="248"/>
      <c r="X682" s="248"/>
      <c r="Y682" s="248"/>
      <c r="Z682" s="248"/>
      <c r="AA682" s="248"/>
      <c r="AB682" s="248"/>
    </row>
    <row r="683" spans="2:28" ht="15.75">
      <c r="B683" s="248"/>
      <c r="C683" s="248"/>
      <c r="D683" s="248"/>
      <c r="E683" s="248"/>
      <c r="F683" s="248"/>
      <c r="G683" s="248"/>
      <c r="H683" s="248"/>
      <c r="I683" s="248"/>
      <c r="J683" s="248"/>
      <c r="K683" s="248"/>
      <c r="L683" s="248"/>
      <c r="M683" s="248"/>
      <c r="N683" s="248"/>
      <c r="O683" s="248"/>
      <c r="P683" s="248"/>
      <c r="Q683" s="248"/>
      <c r="R683" s="248"/>
      <c r="S683" s="248"/>
      <c r="T683" s="248"/>
      <c r="U683" s="248"/>
      <c r="V683" s="248"/>
      <c r="W683" s="248"/>
      <c r="X683" s="248"/>
      <c r="Y683" s="248"/>
      <c r="Z683" s="248"/>
      <c r="AA683" s="248"/>
      <c r="AB683" s="248"/>
    </row>
    <row r="684" spans="2:28" ht="15.75">
      <c r="B684" s="248"/>
      <c r="C684" s="248"/>
      <c r="D684" s="248"/>
      <c r="E684" s="248"/>
      <c r="F684" s="248"/>
      <c r="G684" s="248"/>
      <c r="H684" s="248"/>
      <c r="I684" s="248"/>
      <c r="J684" s="248"/>
      <c r="K684" s="248"/>
      <c r="L684" s="248"/>
      <c r="M684" s="248"/>
      <c r="N684" s="248"/>
      <c r="O684" s="248"/>
      <c r="P684" s="248"/>
      <c r="Q684" s="248"/>
      <c r="R684" s="248"/>
      <c r="S684" s="248"/>
      <c r="T684" s="248"/>
      <c r="U684" s="248"/>
      <c r="V684" s="248"/>
      <c r="W684" s="248"/>
      <c r="X684" s="248"/>
      <c r="Y684" s="248"/>
      <c r="Z684" s="248"/>
      <c r="AA684" s="248"/>
      <c r="AB684" s="248"/>
    </row>
    <row r="685" spans="2:28" ht="15.75">
      <c r="B685" s="248"/>
      <c r="C685" s="248"/>
      <c r="D685" s="248"/>
      <c r="E685" s="248"/>
      <c r="F685" s="248"/>
      <c r="G685" s="248"/>
      <c r="H685" s="248"/>
      <c r="I685" s="248"/>
      <c r="J685" s="248"/>
      <c r="K685" s="248"/>
      <c r="L685" s="248"/>
      <c r="M685" s="248"/>
      <c r="N685" s="248"/>
      <c r="O685" s="248"/>
      <c r="P685" s="248"/>
      <c r="Q685" s="248"/>
      <c r="R685" s="248"/>
      <c r="S685" s="248"/>
      <c r="T685" s="248"/>
      <c r="U685" s="248"/>
      <c r="V685" s="248"/>
      <c r="W685" s="248"/>
      <c r="X685" s="248"/>
      <c r="Y685" s="248"/>
      <c r="Z685" s="248"/>
      <c r="AA685" s="248"/>
      <c r="AB685" s="248"/>
    </row>
    <row r="686" spans="2:28" ht="15.75">
      <c r="B686" s="248"/>
      <c r="C686" s="248"/>
      <c r="D686" s="248"/>
      <c r="E686" s="248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248"/>
      <c r="Q686" s="248"/>
      <c r="R686" s="248"/>
      <c r="S686" s="248"/>
      <c r="T686" s="248"/>
      <c r="U686" s="248"/>
      <c r="V686" s="248"/>
      <c r="W686" s="248"/>
      <c r="X686" s="248"/>
      <c r="Y686" s="248"/>
      <c r="Z686" s="248"/>
      <c r="AA686" s="248"/>
      <c r="AB686" s="248"/>
    </row>
    <row r="687" spans="2:28" ht="15.75">
      <c r="B687" s="248"/>
      <c r="C687" s="248"/>
      <c r="D687" s="248"/>
      <c r="E687" s="248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248"/>
      <c r="Q687" s="248"/>
      <c r="R687" s="248"/>
      <c r="S687" s="248"/>
      <c r="T687" s="248"/>
      <c r="U687" s="248"/>
      <c r="V687" s="248"/>
      <c r="W687" s="248"/>
      <c r="X687" s="248"/>
      <c r="Y687" s="248"/>
      <c r="Z687" s="248"/>
      <c r="AA687" s="248"/>
      <c r="AB687" s="248"/>
    </row>
    <row r="688" spans="2:28" ht="15.75">
      <c r="B688" s="248"/>
      <c r="C688" s="248"/>
      <c r="D688" s="248"/>
      <c r="E688" s="248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248"/>
      <c r="Q688" s="248"/>
      <c r="R688" s="248"/>
      <c r="S688" s="248"/>
      <c r="T688" s="248"/>
      <c r="U688" s="248"/>
      <c r="V688" s="248"/>
      <c r="W688" s="248"/>
      <c r="X688" s="248"/>
      <c r="Y688" s="248"/>
      <c r="Z688" s="248"/>
      <c r="AA688" s="248"/>
      <c r="AB688" s="248"/>
    </row>
    <row r="689" spans="2:28" ht="15.75">
      <c r="B689" s="248"/>
      <c r="C689" s="248"/>
      <c r="D689" s="248"/>
      <c r="E689" s="248"/>
      <c r="F689" s="248"/>
      <c r="G689" s="248"/>
      <c r="H689" s="24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  <c r="U689" s="248"/>
      <c r="V689" s="248"/>
      <c r="W689" s="248"/>
      <c r="X689" s="248"/>
      <c r="Y689" s="248"/>
      <c r="Z689" s="248"/>
      <c r="AA689" s="248"/>
      <c r="AB689" s="248"/>
    </row>
    <row r="690" spans="2:28" ht="15.75">
      <c r="B690" s="248"/>
      <c r="C690" s="248"/>
      <c r="D690" s="248"/>
      <c r="E690" s="248"/>
      <c r="F690" s="248"/>
      <c r="G690" s="248"/>
      <c r="H690" s="248"/>
      <c r="I690" s="248"/>
      <c r="J690" s="248"/>
      <c r="K690" s="248"/>
      <c r="L690" s="248"/>
      <c r="M690" s="248"/>
      <c r="N690" s="248"/>
      <c r="O690" s="248"/>
      <c r="P690" s="248"/>
      <c r="Q690" s="248"/>
      <c r="R690" s="248"/>
      <c r="S690" s="248"/>
      <c r="T690" s="248"/>
      <c r="U690" s="248"/>
      <c r="V690" s="248"/>
      <c r="W690" s="248"/>
      <c r="X690" s="248"/>
      <c r="Y690" s="248"/>
      <c r="Z690" s="248"/>
      <c r="AA690" s="248"/>
      <c r="AB690" s="248"/>
    </row>
    <row r="691" spans="2:28" ht="15.75">
      <c r="B691" s="248"/>
      <c r="C691" s="248"/>
      <c r="D691" s="248"/>
      <c r="E691" s="248"/>
      <c r="F691" s="248"/>
      <c r="G691" s="248"/>
      <c r="H691" s="248"/>
      <c r="I691" s="248"/>
      <c r="J691" s="248"/>
      <c r="K691" s="248"/>
      <c r="L691" s="248"/>
      <c r="M691" s="248"/>
      <c r="N691" s="248"/>
      <c r="O691" s="248"/>
      <c r="P691" s="248"/>
      <c r="Q691" s="248"/>
      <c r="R691" s="248"/>
      <c r="S691" s="248"/>
      <c r="T691" s="248"/>
      <c r="U691" s="248"/>
      <c r="V691" s="248"/>
      <c r="W691" s="248"/>
      <c r="X691" s="248"/>
      <c r="Y691" s="248"/>
      <c r="Z691" s="248"/>
      <c r="AA691" s="248"/>
      <c r="AB691" s="248"/>
    </row>
    <row r="692" spans="2:28" ht="15.75">
      <c r="B692" s="248"/>
      <c r="C692" s="248"/>
      <c r="D692" s="248"/>
      <c r="E692" s="248"/>
      <c r="F692" s="248"/>
      <c r="G692" s="248"/>
      <c r="H692" s="248"/>
      <c r="I692" s="248"/>
      <c r="J692" s="248"/>
      <c r="K692" s="248"/>
      <c r="L692" s="248"/>
      <c r="M692" s="248"/>
      <c r="N692" s="248"/>
      <c r="O692" s="248"/>
      <c r="P692" s="248"/>
      <c r="Q692" s="248"/>
      <c r="R692" s="248"/>
      <c r="S692" s="248"/>
      <c r="T692" s="248"/>
      <c r="U692" s="248"/>
      <c r="V692" s="248"/>
      <c r="W692" s="248"/>
      <c r="X692" s="248"/>
      <c r="Y692" s="248"/>
      <c r="Z692" s="248"/>
      <c r="AA692" s="248"/>
      <c r="AB692" s="248"/>
    </row>
    <row r="693" spans="2:28" ht="15.75">
      <c r="B693" s="248"/>
      <c r="C693" s="248"/>
      <c r="D693" s="248"/>
      <c r="E693" s="248"/>
      <c r="F693" s="248"/>
      <c r="G693" s="248"/>
      <c r="H693" s="248"/>
      <c r="I693" s="248"/>
      <c r="J693" s="248"/>
      <c r="K693" s="248"/>
      <c r="L693" s="248"/>
      <c r="M693" s="248"/>
      <c r="N693" s="248"/>
      <c r="O693" s="248"/>
      <c r="P693" s="248"/>
      <c r="Q693" s="248"/>
      <c r="R693" s="248"/>
      <c r="S693" s="248"/>
      <c r="T693" s="248"/>
      <c r="U693" s="248"/>
      <c r="V693" s="248"/>
      <c r="W693" s="248"/>
      <c r="X693" s="248"/>
      <c r="Y693" s="248"/>
      <c r="Z693" s="248"/>
      <c r="AA693" s="248"/>
      <c r="AB693" s="248"/>
    </row>
    <row r="694" spans="2:28" ht="15.75">
      <c r="B694" s="248"/>
      <c r="C694" s="248"/>
      <c r="D694" s="248"/>
      <c r="E694" s="248"/>
      <c r="F694" s="248"/>
      <c r="G694" s="248"/>
      <c r="H694" s="248"/>
      <c r="I694" s="248"/>
      <c r="J694" s="248"/>
      <c r="K694" s="248"/>
      <c r="L694" s="248"/>
      <c r="M694" s="248"/>
      <c r="N694" s="248"/>
      <c r="O694" s="248"/>
      <c r="P694" s="248"/>
      <c r="Q694" s="248"/>
      <c r="R694" s="248"/>
      <c r="S694" s="248"/>
      <c r="T694" s="248"/>
      <c r="U694" s="248"/>
      <c r="V694" s="248"/>
      <c r="W694" s="248"/>
      <c r="X694" s="248"/>
      <c r="Y694" s="248"/>
      <c r="Z694" s="248"/>
      <c r="AA694" s="248"/>
      <c r="AB694" s="248"/>
    </row>
    <row r="695" spans="2:28" ht="15.75">
      <c r="B695" s="248"/>
      <c r="C695" s="248"/>
      <c r="D695" s="248"/>
      <c r="E695" s="248"/>
      <c r="F695" s="248"/>
      <c r="G695" s="248"/>
      <c r="H695" s="248"/>
      <c r="I695" s="248"/>
      <c r="J695" s="248"/>
      <c r="K695" s="248"/>
      <c r="L695" s="248"/>
      <c r="M695" s="248"/>
      <c r="N695" s="248"/>
      <c r="O695" s="248"/>
      <c r="P695" s="248"/>
      <c r="Q695" s="248"/>
      <c r="R695" s="248"/>
      <c r="S695" s="248"/>
      <c r="T695" s="248"/>
      <c r="U695" s="248"/>
      <c r="V695" s="248"/>
      <c r="W695" s="248"/>
      <c r="X695" s="248"/>
      <c r="Y695" s="248"/>
      <c r="Z695" s="248"/>
      <c r="AA695" s="248"/>
      <c r="AB695" s="248"/>
    </row>
    <row r="696" spans="2:28" ht="15.75">
      <c r="B696" s="248"/>
      <c r="C696" s="248"/>
      <c r="D696" s="248"/>
      <c r="E696" s="248"/>
      <c r="F696" s="248"/>
      <c r="G696" s="248"/>
      <c r="H696" s="248"/>
      <c r="I696" s="248"/>
      <c r="J696" s="248"/>
      <c r="K696" s="248"/>
      <c r="L696" s="248"/>
      <c r="M696" s="248"/>
      <c r="N696" s="248"/>
      <c r="O696" s="248"/>
      <c r="P696" s="248"/>
      <c r="Q696" s="248"/>
      <c r="R696" s="248"/>
      <c r="S696" s="248"/>
      <c r="T696" s="248"/>
      <c r="U696" s="248"/>
      <c r="V696" s="248"/>
      <c r="W696" s="248"/>
      <c r="X696" s="248"/>
      <c r="Y696" s="248"/>
      <c r="Z696" s="248"/>
      <c r="AA696" s="248"/>
      <c r="AB696" s="248"/>
    </row>
    <row r="697" spans="2:28" ht="15.75">
      <c r="B697" s="248"/>
      <c r="C697" s="248"/>
      <c r="D697" s="248"/>
      <c r="E697" s="248"/>
      <c r="F697" s="248"/>
      <c r="G697" s="248"/>
      <c r="H697" s="248"/>
      <c r="I697" s="248"/>
      <c r="J697" s="248"/>
      <c r="K697" s="248"/>
      <c r="L697" s="248"/>
      <c r="M697" s="248"/>
      <c r="N697" s="248"/>
      <c r="O697" s="248"/>
      <c r="P697" s="248"/>
      <c r="Q697" s="248"/>
      <c r="R697" s="248"/>
      <c r="S697" s="248"/>
      <c r="T697" s="248"/>
      <c r="U697" s="248"/>
      <c r="V697" s="248"/>
      <c r="W697" s="248"/>
      <c r="X697" s="248"/>
      <c r="Y697" s="248"/>
      <c r="Z697" s="248"/>
      <c r="AA697" s="248"/>
      <c r="AB697" s="248"/>
    </row>
    <row r="698" spans="2:28" ht="15.75">
      <c r="B698" s="248"/>
      <c r="C698" s="248"/>
      <c r="D698" s="248"/>
      <c r="E698" s="248"/>
      <c r="F698" s="248"/>
      <c r="G698" s="248"/>
      <c r="H698" s="248"/>
      <c r="I698" s="248"/>
      <c r="J698" s="248"/>
      <c r="K698" s="248"/>
      <c r="L698" s="248"/>
      <c r="M698" s="248"/>
      <c r="N698" s="248"/>
      <c r="O698" s="248"/>
      <c r="P698" s="248"/>
      <c r="Q698" s="248"/>
      <c r="R698" s="248"/>
      <c r="S698" s="248"/>
      <c r="T698" s="248"/>
      <c r="U698" s="248"/>
      <c r="V698" s="248"/>
      <c r="W698" s="248"/>
      <c r="X698" s="248"/>
      <c r="Y698" s="248"/>
      <c r="Z698" s="248"/>
      <c r="AA698" s="248"/>
      <c r="AB698" s="248"/>
    </row>
    <row r="699" spans="2:28" ht="15.75">
      <c r="B699" s="248"/>
      <c r="C699" s="248"/>
      <c r="D699" s="248"/>
      <c r="E699" s="248"/>
      <c r="F699" s="248"/>
      <c r="G699" s="248"/>
      <c r="H699" s="248"/>
      <c r="I699" s="248"/>
      <c r="J699" s="248"/>
      <c r="K699" s="248"/>
      <c r="L699" s="248"/>
      <c r="M699" s="248"/>
      <c r="N699" s="248"/>
      <c r="O699" s="248"/>
      <c r="P699" s="248"/>
      <c r="Q699" s="248"/>
      <c r="R699" s="248"/>
      <c r="S699" s="248"/>
      <c r="T699" s="248"/>
      <c r="U699" s="248"/>
      <c r="V699" s="248"/>
      <c r="W699" s="248"/>
      <c r="X699" s="248"/>
      <c r="Y699" s="248"/>
      <c r="Z699" s="248"/>
      <c r="AA699" s="248"/>
      <c r="AB699" s="248"/>
    </row>
    <row r="700" spans="2:28" ht="15.75">
      <c r="B700" s="248"/>
      <c r="C700" s="248"/>
      <c r="D700" s="248"/>
      <c r="E700" s="248"/>
      <c r="F700" s="248"/>
      <c r="G700" s="248"/>
      <c r="H700" s="248"/>
      <c r="I700" s="248"/>
      <c r="J700" s="248"/>
      <c r="K700" s="248"/>
      <c r="L700" s="248"/>
      <c r="M700" s="248"/>
      <c r="N700" s="248"/>
      <c r="O700" s="248"/>
      <c r="P700" s="248"/>
      <c r="Q700" s="248"/>
      <c r="R700" s="248"/>
      <c r="S700" s="248"/>
      <c r="T700" s="248"/>
      <c r="U700" s="248"/>
      <c r="V700" s="248"/>
      <c r="W700" s="248"/>
      <c r="X700" s="248"/>
      <c r="Y700" s="248"/>
      <c r="Z700" s="248"/>
      <c r="AA700" s="248"/>
      <c r="AB700" s="248"/>
    </row>
    <row r="701" spans="2:28" ht="15.75">
      <c r="B701" s="248"/>
      <c r="C701" s="248"/>
      <c r="D701" s="248"/>
      <c r="E701" s="248"/>
      <c r="F701" s="248"/>
      <c r="G701" s="248"/>
      <c r="H701" s="248"/>
      <c r="I701" s="248"/>
      <c r="J701" s="248"/>
      <c r="K701" s="248"/>
      <c r="L701" s="248"/>
      <c r="M701" s="248"/>
      <c r="N701" s="248"/>
      <c r="O701" s="248"/>
      <c r="P701" s="248"/>
      <c r="Q701" s="248"/>
      <c r="R701" s="248"/>
      <c r="S701" s="248"/>
      <c r="T701" s="248"/>
      <c r="U701" s="248"/>
      <c r="V701" s="248"/>
      <c r="W701" s="248"/>
      <c r="X701" s="248"/>
      <c r="Y701" s="248"/>
      <c r="Z701" s="248"/>
      <c r="AA701" s="248"/>
      <c r="AB701" s="248"/>
    </row>
    <row r="702" spans="2:28" ht="15.75">
      <c r="B702" s="248"/>
      <c r="C702" s="248"/>
      <c r="D702" s="248"/>
      <c r="E702" s="248"/>
      <c r="F702" s="248"/>
      <c r="G702" s="248"/>
      <c r="H702" s="248"/>
      <c r="I702" s="248"/>
      <c r="J702" s="248"/>
      <c r="K702" s="248"/>
      <c r="L702" s="248"/>
      <c r="M702" s="248"/>
      <c r="N702" s="248"/>
      <c r="O702" s="248"/>
      <c r="P702" s="248"/>
      <c r="Q702" s="248"/>
      <c r="R702" s="248"/>
      <c r="S702" s="248"/>
      <c r="T702" s="248"/>
      <c r="U702" s="248"/>
      <c r="V702" s="248"/>
      <c r="W702" s="248"/>
      <c r="X702" s="248"/>
      <c r="Y702" s="248"/>
      <c r="Z702" s="248"/>
      <c r="AA702" s="248"/>
      <c r="AB702" s="248"/>
    </row>
    <row r="703" spans="2:28" ht="15.75">
      <c r="B703" s="248"/>
      <c r="C703" s="248"/>
      <c r="D703" s="248"/>
      <c r="E703" s="248"/>
      <c r="F703" s="248"/>
      <c r="G703" s="248"/>
      <c r="H703" s="248"/>
      <c r="I703" s="248"/>
      <c r="J703" s="248"/>
      <c r="K703" s="248"/>
      <c r="L703" s="248"/>
      <c r="M703" s="248"/>
      <c r="N703" s="248"/>
      <c r="O703" s="248"/>
      <c r="P703" s="248"/>
      <c r="Q703" s="248"/>
      <c r="R703" s="248"/>
      <c r="S703" s="248"/>
      <c r="T703" s="248"/>
      <c r="U703" s="248"/>
      <c r="V703" s="248"/>
      <c r="W703" s="248"/>
      <c r="X703" s="248"/>
      <c r="Y703" s="248"/>
      <c r="Z703" s="248"/>
      <c r="AA703" s="248"/>
      <c r="AB703" s="248"/>
    </row>
    <row r="704" spans="2:28" ht="15.75">
      <c r="B704" s="248"/>
      <c r="C704" s="248"/>
      <c r="D704" s="248"/>
      <c r="E704" s="248"/>
      <c r="F704" s="248"/>
      <c r="G704" s="248"/>
      <c r="H704" s="248"/>
      <c r="I704" s="248"/>
      <c r="J704" s="248"/>
      <c r="K704" s="248"/>
      <c r="L704" s="248"/>
      <c r="M704" s="248"/>
      <c r="N704" s="248"/>
      <c r="O704" s="248"/>
      <c r="P704" s="248"/>
      <c r="Q704" s="248"/>
      <c r="R704" s="248"/>
      <c r="S704" s="248"/>
      <c r="T704" s="248"/>
      <c r="U704" s="248"/>
      <c r="V704" s="248"/>
      <c r="W704" s="248"/>
      <c r="X704" s="248"/>
      <c r="Y704" s="248"/>
      <c r="Z704" s="248"/>
      <c r="AA704" s="248"/>
      <c r="AB704" s="248"/>
    </row>
    <row r="705" spans="2:28" ht="15.75">
      <c r="B705" s="248"/>
      <c r="C705" s="248"/>
      <c r="D705" s="248"/>
      <c r="E705" s="248"/>
      <c r="F705" s="248"/>
      <c r="G705" s="248"/>
      <c r="H705" s="248"/>
      <c r="I705" s="248"/>
      <c r="J705" s="248"/>
      <c r="K705" s="248"/>
      <c r="L705" s="248"/>
      <c r="M705" s="248"/>
      <c r="N705" s="248"/>
      <c r="O705" s="248"/>
      <c r="P705" s="248"/>
      <c r="Q705" s="248"/>
      <c r="R705" s="248"/>
      <c r="S705" s="248"/>
      <c r="T705" s="248"/>
      <c r="U705" s="248"/>
      <c r="V705" s="248"/>
      <c r="W705" s="248"/>
      <c r="X705" s="248"/>
      <c r="Y705" s="248"/>
      <c r="Z705" s="248"/>
      <c r="AA705" s="248"/>
      <c r="AB705" s="248"/>
    </row>
    <row r="706" spans="2:28" ht="15.75">
      <c r="B706" s="248"/>
      <c r="C706" s="248"/>
      <c r="D706" s="248"/>
      <c r="E706" s="248"/>
      <c r="F706" s="248"/>
      <c r="G706" s="248"/>
      <c r="H706" s="248"/>
      <c r="I706" s="248"/>
      <c r="J706" s="248"/>
      <c r="K706" s="248"/>
      <c r="L706" s="248"/>
      <c r="M706" s="248"/>
      <c r="N706" s="248"/>
      <c r="O706" s="248"/>
      <c r="P706" s="248"/>
      <c r="Q706" s="248"/>
      <c r="R706" s="248"/>
      <c r="S706" s="248"/>
      <c r="T706" s="248"/>
      <c r="U706" s="248"/>
      <c r="V706" s="248"/>
      <c r="W706" s="248"/>
      <c r="X706" s="248"/>
      <c r="Y706" s="248"/>
      <c r="Z706" s="248"/>
      <c r="AA706" s="248"/>
      <c r="AB706" s="248"/>
    </row>
    <row r="707" spans="2:28" ht="15.75">
      <c r="B707" s="248"/>
      <c r="C707" s="248"/>
      <c r="D707" s="248"/>
      <c r="E707" s="248"/>
      <c r="F707" s="248"/>
      <c r="G707" s="248"/>
      <c r="H707" s="248"/>
      <c r="I707" s="248"/>
      <c r="J707" s="248"/>
      <c r="K707" s="248"/>
      <c r="L707" s="248"/>
      <c r="M707" s="248"/>
      <c r="N707" s="248"/>
      <c r="O707" s="248"/>
      <c r="P707" s="248"/>
      <c r="Q707" s="248"/>
      <c r="R707" s="248"/>
      <c r="S707" s="248"/>
      <c r="T707" s="248"/>
      <c r="U707" s="248"/>
      <c r="V707" s="248"/>
      <c r="W707" s="248"/>
      <c r="X707" s="248"/>
      <c r="Y707" s="248"/>
      <c r="Z707" s="248"/>
      <c r="AA707" s="248"/>
      <c r="AB707" s="248"/>
    </row>
    <row r="708" spans="2:28" ht="15.75">
      <c r="B708" s="248"/>
      <c r="C708" s="248"/>
      <c r="D708" s="248"/>
      <c r="E708" s="248"/>
      <c r="F708" s="248"/>
      <c r="G708" s="248"/>
      <c r="H708" s="248"/>
      <c r="I708" s="248"/>
      <c r="J708" s="248"/>
      <c r="K708" s="248"/>
      <c r="L708" s="248"/>
      <c r="M708" s="248"/>
      <c r="N708" s="248"/>
      <c r="O708" s="248"/>
      <c r="P708" s="248"/>
      <c r="Q708" s="248"/>
      <c r="R708" s="248"/>
      <c r="S708" s="248"/>
      <c r="T708" s="248"/>
      <c r="U708" s="248"/>
      <c r="V708" s="248"/>
      <c r="W708" s="248"/>
      <c r="X708" s="248"/>
      <c r="Y708" s="248"/>
      <c r="Z708" s="248"/>
      <c r="AA708" s="248"/>
      <c r="AB708" s="248"/>
    </row>
    <row r="709" spans="2:28" ht="15.75">
      <c r="B709" s="248"/>
      <c r="C709" s="248"/>
      <c r="D709" s="248"/>
      <c r="E709" s="248"/>
      <c r="F709" s="248"/>
      <c r="G709" s="248"/>
      <c r="H709" s="248"/>
      <c r="I709" s="248"/>
      <c r="J709" s="248"/>
      <c r="K709" s="248"/>
      <c r="L709" s="248"/>
      <c r="M709" s="248"/>
      <c r="N709" s="248"/>
      <c r="O709" s="248"/>
      <c r="P709" s="248"/>
      <c r="Q709" s="248"/>
      <c r="R709" s="248"/>
      <c r="S709" s="248"/>
      <c r="T709" s="248"/>
      <c r="U709" s="248"/>
      <c r="V709" s="248"/>
      <c r="W709" s="248"/>
      <c r="X709" s="248"/>
      <c r="Y709" s="248"/>
      <c r="Z709" s="248"/>
      <c r="AA709" s="248"/>
      <c r="AB709" s="248"/>
    </row>
    <row r="710" spans="2:28" ht="15.75">
      <c r="B710" s="248"/>
      <c r="C710" s="248"/>
      <c r="D710" s="248"/>
      <c r="E710" s="248"/>
      <c r="F710" s="248"/>
      <c r="G710" s="248"/>
      <c r="H710" s="248"/>
      <c r="I710" s="248"/>
      <c r="J710" s="248"/>
      <c r="K710" s="248"/>
      <c r="L710" s="248"/>
      <c r="M710" s="248"/>
      <c r="N710" s="248"/>
      <c r="O710" s="248"/>
      <c r="P710" s="248"/>
      <c r="Q710" s="248"/>
      <c r="R710" s="248"/>
      <c r="S710" s="248"/>
      <c r="T710" s="248"/>
      <c r="U710" s="248"/>
      <c r="V710" s="248"/>
      <c r="W710" s="248"/>
      <c r="X710" s="248"/>
      <c r="Y710" s="248"/>
      <c r="Z710" s="248"/>
      <c r="AA710" s="248"/>
      <c r="AB710" s="248"/>
    </row>
    <row r="711" spans="2:28" ht="15.75">
      <c r="B711" s="248"/>
      <c r="C711" s="248"/>
      <c r="D711" s="248"/>
      <c r="E711" s="248"/>
      <c r="F711" s="248"/>
      <c r="G711" s="248"/>
      <c r="H711" s="248"/>
      <c r="I711" s="248"/>
      <c r="J711" s="248"/>
      <c r="K711" s="248"/>
      <c r="L711" s="248"/>
      <c r="M711" s="248"/>
      <c r="N711" s="248"/>
      <c r="O711" s="248"/>
      <c r="P711" s="248"/>
      <c r="Q711" s="248"/>
      <c r="R711" s="248"/>
      <c r="S711" s="248"/>
      <c r="T711" s="248"/>
      <c r="U711" s="248"/>
      <c r="V711" s="248"/>
      <c r="W711" s="248"/>
      <c r="X711" s="248"/>
      <c r="Y711" s="248"/>
      <c r="Z711" s="248"/>
      <c r="AA711" s="248"/>
      <c r="AB711" s="248"/>
    </row>
    <row r="712" spans="2:28" ht="15.75">
      <c r="B712" s="248"/>
      <c r="C712" s="248"/>
      <c r="D712" s="248"/>
      <c r="E712" s="248"/>
      <c r="F712" s="248"/>
      <c r="G712" s="248"/>
      <c r="H712" s="248"/>
      <c r="I712" s="248"/>
      <c r="J712" s="248"/>
      <c r="K712" s="248"/>
      <c r="L712" s="248"/>
      <c r="M712" s="248"/>
      <c r="N712" s="248"/>
      <c r="O712" s="248"/>
      <c r="P712" s="248"/>
      <c r="Q712" s="248"/>
      <c r="R712" s="248"/>
      <c r="S712" s="248"/>
      <c r="T712" s="248"/>
      <c r="U712" s="248"/>
      <c r="V712" s="248"/>
      <c r="W712" s="248"/>
      <c r="X712" s="248"/>
      <c r="Y712" s="248"/>
      <c r="Z712" s="248"/>
      <c r="AA712" s="248"/>
      <c r="AB712" s="248"/>
    </row>
    <row r="713" spans="2:28" ht="15.75">
      <c r="B713" s="248"/>
      <c r="C713" s="248"/>
      <c r="D713" s="248"/>
      <c r="E713" s="248"/>
      <c r="F713" s="248"/>
      <c r="G713" s="248"/>
      <c r="H713" s="248"/>
      <c r="I713" s="248"/>
      <c r="J713" s="248"/>
      <c r="K713" s="248"/>
      <c r="L713" s="248"/>
      <c r="M713" s="248"/>
      <c r="N713" s="248"/>
      <c r="O713" s="248"/>
      <c r="P713" s="248"/>
      <c r="Q713" s="248"/>
      <c r="R713" s="248"/>
      <c r="S713" s="248"/>
      <c r="T713" s="248"/>
      <c r="U713" s="248"/>
      <c r="V713" s="248"/>
      <c r="W713" s="248"/>
      <c r="X713" s="248"/>
      <c r="Y713" s="248"/>
      <c r="Z713" s="248"/>
      <c r="AA713" s="248"/>
      <c r="AB713" s="248"/>
    </row>
    <row r="714" spans="2:28" ht="15.75">
      <c r="B714" s="248"/>
      <c r="C714" s="248"/>
      <c r="D714" s="248"/>
      <c r="E714" s="248"/>
      <c r="F714" s="248"/>
      <c r="G714" s="248"/>
      <c r="H714" s="248"/>
      <c r="I714" s="248"/>
      <c r="J714" s="248"/>
      <c r="K714" s="248"/>
      <c r="L714" s="248"/>
      <c r="M714" s="248"/>
      <c r="N714" s="248"/>
      <c r="O714" s="248"/>
      <c r="P714" s="248"/>
      <c r="Q714" s="248"/>
      <c r="R714" s="248"/>
      <c r="S714" s="248"/>
      <c r="T714" s="248"/>
      <c r="U714" s="248"/>
      <c r="V714" s="248"/>
      <c r="W714" s="248"/>
      <c r="X714" s="248"/>
      <c r="Y714" s="248"/>
      <c r="Z714" s="248"/>
      <c r="AA714" s="248"/>
      <c r="AB714" s="248"/>
    </row>
    <row r="715" spans="2:28" ht="15.75">
      <c r="B715" s="248"/>
      <c r="C715" s="248"/>
      <c r="D715" s="248"/>
      <c r="E715" s="248"/>
      <c r="F715" s="248"/>
      <c r="G715" s="248"/>
      <c r="H715" s="248"/>
      <c r="I715" s="248"/>
      <c r="J715" s="248"/>
      <c r="K715" s="248"/>
      <c r="L715" s="248"/>
      <c r="M715" s="248"/>
      <c r="N715" s="248"/>
      <c r="O715" s="248"/>
      <c r="P715" s="248"/>
      <c r="Q715" s="248"/>
      <c r="R715" s="248"/>
      <c r="S715" s="248"/>
      <c r="T715" s="248"/>
      <c r="U715" s="248"/>
      <c r="V715" s="248"/>
      <c r="W715" s="248"/>
      <c r="X715" s="248"/>
      <c r="Y715" s="248"/>
      <c r="Z715" s="248"/>
      <c r="AA715" s="248"/>
      <c r="AB715" s="248"/>
    </row>
    <row r="716" spans="2:28" ht="15.75">
      <c r="B716" s="248"/>
      <c r="C716" s="248"/>
      <c r="D716" s="248"/>
      <c r="E716" s="248"/>
      <c r="F716" s="248"/>
      <c r="G716" s="248"/>
      <c r="H716" s="248"/>
      <c r="I716" s="248"/>
      <c r="J716" s="248"/>
      <c r="K716" s="248"/>
      <c r="L716" s="248"/>
      <c r="M716" s="248"/>
      <c r="N716" s="248"/>
      <c r="O716" s="248"/>
      <c r="P716" s="248"/>
      <c r="Q716" s="248"/>
      <c r="R716" s="248"/>
      <c r="S716" s="248"/>
      <c r="T716" s="248"/>
      <c r="U716" s="248"/>
      <c r="V716" s="248"/>
      <c r="W716" s="248"/>
      <c r="X716" s="248"/>
      <c r="Y716" s="248"/>
      <c r="Z716" s="248"/>
      <c r="AA716" s="248"/>
      <c r="AB716" s="248"/>
    </row>
    <row r="717" spans="2:28" ht="15.75">
      <c r="B717" s="248"/>
      <c r="C717" s="248"/>
      <c r="D717" s="248"/>
      <c r="E717" s="248"/>
      <c r="F717" s="248"/>
      <c r="G717" s="248"/>
      <c r="H717" s="248"/>
      <c r="I717" s="248"/>
      <c r="J717" s="248"/>
      <c r="K717" s="248"/>
      <c r="L717" s="248"/>
      <c r="M717" s="248"/>
      <c r="N717" s="248"/>
      <c r="O717" s="248"/>
      <c r="P717" s="248"/>
      <c r="Q717" s="248"/>
      <c r="R717" s="248"/>
      <c r="S717" s="248"/>
      <c r="T717" s="248"/>
      <c r="U717" s="248"/>
      <c r="V717" s="248"/>
      <c r="W717" s="248"/>
      <c r="X717" s="248"/>
      <c r="Y717" s="248"/>
      <c r="Z717" s="248"/>
      <c r="AA717" s="248"/>
      <c r="AB717" s="248"/>
    </row>
    <row r="718" spans="2:28" ht="15.75">
      <c r="B718" s="248"/>
      <c r="C718" s="248"/>
      <c r="D718" s="248"/>
      <c r="E718" s="248"/>
      <c r="F718" s="248"/>
      <c r="G718" s="248"/>
      <c r="H718" s="248"/>
      <c r="I718" s="248"/>
      <c r="J718" s="248"/>
      <c r="K718" s="248"/>
      <c r="L718" s="248"/>
      <c r="M718" s="248"/>
      <c r="N718" s="248"/>
      <c r="O718" s="248"/>
      <c r="P718" s="248"/>
      <c r="Q718" s="248"/>
      <c r="R718" s="248"/>
      <c r="S718" s="248"/>
      <c r="T718" s="248"/>
      <c r="U718" s="248"/>
      <c r="V718" s="248"/>
      <c r="W718" s="248"/>
      <c r="X718" s="248"/>
      <c r="Y718" s="248"/>
      <c r="Z718" s="248"/>
      <c r="AA718" s="248"/>
      <c r="AB718" s="248"/>
    </row>
    <row r="719" spans="2:28" ht="15.75">
      <c r="B719" s="248"/>
      <c r="C719" s="248"/>
      <c r="D719" s="248"/>
      <c r="E719" s="248"/>
      <c r="F719" s="248"/>
      <c r="G719" s="248"/>
      <c r="H719" s="248"/>
      <c r="I719" s="248"/>
      <c r="J719" s="248"/>
      <c r="K719" s="248"/>
      <c r="L719" s="248"/>
      <c r="M719" s="248"/>
      <c r="N719" s="248"/>
      <c r="O719" s="248"/>
      <c r="P719" s="248"/>
      <c r="Q719" s="248"/>
      <c r="R719" s="248"/>
      <c r="S719" s="248"/>
      <c r="T719" s="248"/>
      <c r="U719" s="248"/>
      <c r="V719" s="248"/>
      <c r="W719" s="248"/>
      <c r="X719" s="248"/>
      <c r="Y719" s="248"/>
      <c r="Z719" s="248"/>
      <c r="AA719" s="248"/>
      <c r="AB719" s="248"/>
    </row>
    <row r="720" spans="2:28" ht="15.75">
      <c r="B720" s="248"/>
      <c r="C720" s="248"/>
      <c r="D720" s="248"/>
      <c r="E720" s="248"/>
      <c r="F720" s="248"/>
      <c r="G720" s="248"/>
      <c r="H720" s="248"/>
      <c r="I720" s="248"/>
      <c r="J720" s="248"/>
      <c r="K720" s="248"/>
      <c r="L720" s="248"/>
      <c r="M720" s="248"/>
      <c r="N720" s="248"/>
      <c r="O720" s="248"/>
      <c r="P720" s="248"/>
      <c r="Q720" s="248"/>
      <c r="R720" s="248"/>
      <c r="S720" s="248"/>
      <c r="T720" s="248"/>
      <c r="U720" s="248"/>
      <c r="V720" s="248"/>
      <c r="W720" s="248"/>
      <c r="X720" s="248"/>
      <c r="Y720" s="248"/>
      <c r="Z720" s="248"/>
      <c r="AA720" s="248"/>
      <c r="AB720" s="248"/>
    </row>
    <row r="721" spans="2:28" ht="15.75">
      <c r="B721" s="248"/>
      <c r="C721" s="248"/>
      <c r="D721" s="248"/>
      <c r="E721" s="248"/>
      <c r="F721" s="248"/>
      <c r="G721" s="248"/>
      <c r="H721" s="248"/>
      <c r="I721" s="248"/>
      <c r="J721" s="248"/>
      <c r="K721" s="248"/>
      <c r="L721" s="248"/>
      <c r="M721" s="248"/>
      <c r="N721" s="248"/>
      <c r="O721" s="248"/>
      <c r="P721" s="248"/>
      <c r="Q721" s="248"/>
      <c r="R721" s="248"/>
      <c r="S721" s="248"/>
      <c r="T721" s="248"/>
      <c r="U721" s="248"/>
      <c r="V721" s="248"/>
      <c r="W721" s="248"/>
      <c r="X721" s="248"/>
      <c r="Y721" s="248"/>
      <c r="Z721" s="248"/>
      <c r="AA721" s="248"/>
      <c r="AB721" s="248"/>
    </row>
    <row r="722" spans="2:28" ht="15.75">
      <c r="B722" s="248"/>
      <c r="C722" s="248"/>
      <c r="D722" s="248"/>
      <c r="E722" s="248"/>
      <c r="F722" s="248"/>
      <c r="G722" s="248"/>
      <c r="H722" s="248"/>
      <c r="I722" s="248"/>
      <c r="J722" s="248"/>
      <c r="K722" s="248"/>
      <c r="L722" s="248"/>
      <c r="M722" s="248"/>
      <c r="N722" s="248"/>
      <c r="O722" s="248"/>
      <c r="P722" s="248"/>
      <c r="Q722" s="248"/>
      <c r="R722" s="248"/>
      <c r="S722" s="248"/>
      <c r="T722" s="248"/>
      <c r="U722" s="248"/>
      <c r="V722" s="248"/>
      <c r="W722" s="248"/>
      <c r="X722" s="248"/>
      <c r="Y722" s="248"/>
      <c r="Z722" s="248"/>
      <c r="AA722" s="248"/>
      <c r="AB722" s="248"/>
    </row>
    <row r="723" spans="2:28" ht="15.75">
      <c r="B723" s="248"/>
      <c r="C723" s="248"/>
      <c r="D723" s="248"/>
      <c r="E723" s="248"/>
      <c r="F723" s="248"/>
      <c r="G723" s="248"/>
      <c r="H723" s="248"/>
      <c r="I723" s="248"/>
      <c r="J723" s="248"/>
      <c r="K723" s="248"/>
      <c r="L723" s="248"/>
      <c r="M723" s="248"/>
      <c r="N723" s="248"/>
      <c r="O723" s="248"/>
      <c r="P723" s="248"/>
      <c r="Q723" s="248"/>
      <c r="R723" s="248"/>
      <c r="S723" s="248"/>
      <c r="T723" s="248"/>
      <c r="U723" s="248"/>
      <c r="V723" s="248"/>
      <c r="W723" s="248"/>
      <c r="X723" s="248"/>
      <c r="Y723" s="248"/>
      <c r="Z723" s="248"/>
      <c r="AA723" s="248"/>
      <c r="AB723" s="248"/>
    </row>
    <row r="724" spans="2:28" ht="15.75">
      <c r="B724" s="248"/>
      <c r="C724" s="248"/>
      <c r="D724" s="248"/>
      <c r="E724" s="248"/>
      <c r="F724" s="248"/>
      <c r="G724" s="248"/>
      <c r="H724" s="248"/>
      <c r="I724" s="248"/>
      <c r="J724" s="248"/>
      <c r="K724" s="248"/>
      <c r="L724" s="248"/>
      <c r="M724" s="248"/>
      <c r="N724" s="248"/>
      <c r="O724" s="248"/>
      <c r="P724" s="248"/>
      <c r="Q724" s="248"/>
      <c r="R724" s="248"/>
      <c r="S724" s="248"/>
      <c r="T724" s="248"/>
      <c r="U724" s="248"/>
      <c r="V724" s="248"/>
      <c r="W724" s="248"/>
      <c r="X724" s="248"/>
      <c r="Y724" s="248"/>
      <c r="Z724" s="248"/>
      <c r="AA724" s="248"/>
      <c r="AB724" s="248"/>
    </row>
    <row r="725" spans="2:28" ht="15.75">
      <c r="B725" s="248"/>
      <c r="C725" s="248"/>
      <c r="D725" s="248"/>
      <c r="E725" s="248"/>
      <c r="F725" s="248"/>
      <c r="G725" s="248"/>
      <c r="H725" s="248"/>
      <c r="I725" s="248"/>
      <c r="J725" s="248"/>
      <c r="K725" s="248"/>
      <c r="L725" s="248"/>
      <c r="M725" s="248"/>
      <c r="N725" s="248"/>
      <c r="O725" s="248"/>
      <c r="P725" s="248"/>
      <c r="Q725" s="248"/>
      <c r="R725" s="248"/>
      <c r="S725" s="248"/>
      <c r="T725" s="248"/>
      <c r="U725" s="248"/>
      <c r="V725" s="248"/>
      <c r="W725" s="248"/>
      <c r="X725" s="248"/>
      <c r="Y725" s="248"/>
      <c r="Z725" s="248"/>
      <c r="AA725" s="248"/>
      <c r="AB725" s="248"/>
    </row>
    <row r="726" spans="2:28" ht="15.75">
      <c r="B726" s="248"/>
      <c r="C726" s="248"/>
      <c r="D726" s="248"/>
      <c r="E726" s="248"/>
      <c r="F726" s="248"/>
      <c r="G726" s="248"/>
      <c r="H726" s="248"/>
      <c r="I726" s="248"/>
      <c r="J726" s="248"/>
      <c r="K726" s="248"/>
      <c r="L726" s="248"/>
      <c r="M726" s="248"/>
      <c r="N726" s="248"/>
      <c r="O726" s="248"/>
      <c r="P726" s="248"/>
      <c r="Q726" s="248"/>
      <c r="R726" s="248"/>
      <c r="S726" s="248"/>
      <c r="T726" s="248"/>
      <c r="U726" s="248"/>
      <c r="V726" s="248"/>
      <c r="W726" s="248"/>
      <c r="X726" s="248"/>
      <c r="Y726" s="248"/>
      <c r="Z726" s="248"/>
      <c r="AA726" s="248"/>
      <c r="AB726" s="248"/>
    </row>
    <row r="727" spans="2:28" ht="15.75">
      <c r="B727" s="248"/>
      <c r="C727" s="248"/>
      <c r="D727" s="248"/>
      <c r="E727" s="248"/>
      <c r="F727" s="248"/>
      <c r="G727" s="248"/>
      <c r="H727" s="248"/>
      <c r="I727" s="248"/>
      <c r="J727" s="248"/>
      <c r="K727" s="248"/>
      <c r="L727" s="248"/>
      <c r="M727" s="248"/>
      <c r="N727" s="248"/>
      <c r="O727" s="248"/>
      <c r="P727" s="248"/>
      <c r="Q727" s="248"/>
      <c r="R727" s="248"/>
      <c r="S727" s="248"/>
      <c r="T727" s="248"/>
      <c r="U727" s="248"/>
      <c r="V727" s="248"/>
      <c r="W727" s="248"/>
      <c r="X727" s="248"/>
      <c r="Y727" s="248"/>
      <c r="Z727" s="248"/>
      <c r="AA727" s="248"/>
      <c r="AB727" s="248"/>
    </row>
    <row r="728" spans="2:28" ht="15.75">
      <c r="B728" s="248"/>
      <c r="C728" s="248"/>
      <c r="D728" s="248"/>
      <c r="E728" s="248"/>
      <c r="F728" s="248"/>
      <c r="G728" s="248"/>
      <c r="H728" s="248"/>
      <c r="I728" s="248"/>
      <c r="J728" s="248"/>
      <c r="K728" s="248"/>
      <c r="L728" s="248"/>
      <c r="M728" s="248"/>
      <c r="N728" s="248"/>
      <c r="O728" s="248"/>
      <c r="P728" s="248"/>
      <c r="Q728" s="248"/>
      <c r="R728" s="248"/>
      <c r="S728" s="248"/>
      <c r="T728" s="248"/>
      <c r="U728" s="248"/>
      <c r="V728" s="248"/>
      <c r="W728" s="248"/>
      <c r="X728" s="248"/>
      <c r="Y728" s="248"/>
      <c r="Z728" s="248"/>
      <c r="AA728" s="248"/>
      <c r="AB728" s="248"/>
    </row>
    <row r="729" spans="2:28" ht="15.75">
      <c r="B729" s="248"/>
      <c r="C729" s="248"/>
      <c r="D729" s="248"/>
      <c r="E729" s="248"/>
      <c r="F729" s="248"/>
      <c r="G729" s="248"/>
      <c r="H729" s="248"/>
      <c r="I729" s="248"/>
      <c r="J729" s="248"/>
      <c r="K729" s="248"/>
      <c r="L729" s="248"/>
      <c r="M729" s="248"/>
      <c r="N729" s="248"/>
      <c r="O729" s="248"/>
      <c r="P729" s="248"/>
      <c r="Q729" s="248"/>
      <c r="R729" s="248"/>
      <c r="S729" s="248"/>
      <c r="T729" s="248"/>
      <c r="U729" s="248"/>
      <c r="V729" s="248"/>
      <c r="W729" s="248"/>
      <c r="X729" s="248"/>
      <c r="Y729" s="248"/>
      <c r="Z729" s="248"/>
      <c r="AA729" s="248"/>
      <c r="AB729" s="248"/>
    </row>
    <row r="730" spans="2:28" ht="15.75">
      <c r="B730" s="248"/>
      <c r="C730" s="248"/>
      <c r="D730" s="248"/>
      <c r="E730" s="248"/>
      <c r="F730" s="248"/>
      <c r="G730" s="248"/>
      <c r="H730" s="248"/>
      <c r="I730" s="248"/>
      <c r="J730" s="248"/>
      <c r="K730" s="248"/>
      <c r="L730" s="248"/>
      <c r="M730" s="248"/>
      <c r="N730" s="248"/>
      <c r="O730" s="248"/>
      <c r="P730" s="248"/>
      <c r="Q730" s="248"/>
      <c r="R730" s="248"/>
      <c r="S730" s="248"/>
      <c r="T730" s="248"/>
      <c r="U730" s="248"/>
      <c r="V730" s="248"/>
      <c r="W730" s="248"/>
      <c r="X730" s="248"/>
      <c r="Y730" s="248"/>
      <c r="Z730" s="248"/>
      <c r="AA730" s="248"/>
      <c r="AB730" s="248"/>
    </row>
    <row r="731" spans="2:28" ht="15.75">
      <c r="B731" s="248"/>
      <c r="C731" s="248"/>
      <c r="D731" s="248"/>
      <c r="E731" s="248"/>
      <c r="F731" s="248"/>
      <c r="G731" s="248"/>
      <c r="H731" s="248"/>
      <c r="I731" s="248"/>
      <c r="J731" s="248"/>
      <c r="K731" s="248"/>
      <c r="L731" s="248"/>
      <c r="M731" s="248"/>
      <c r="N731" s="248"/>
      <c r="O731" s="248"/>
      <c r="P731" s="248"/>
      <c r="Q731" s="248"/>
      <c r="R731" s="248"/>
      <c r="S731" s="248"/>
      <c r="T731" s="248"/>
      <c r="U731" s="248"/>
      <c r="V731" s="248"/>
      <c r="W731" s="248"/>
      <c r="X731" s="248"/>
      <c r="Y731" s="248"/>
      <c r="Z731" s="248"/>
      <c r="AA731" s="248"/>
      <c r="AB731" s="248"/>
    </row>
    <row r="732" spans="2:28" ht="15.75">
      <c r="B732" s="248"/>
      <c r="C732" s="248"/>
      <c r="D732" s="248"/>
      <c r="E732" s="248"/>
      <c r="F732" s="248"/>
      <c r="G732" s="248"/>
      <c r="H732" s="248"/>
      <c r="I732" s="248"/>
      <c r="J732" s="248"/>
      <c r="K732" s="248"/>
      <c r="L732" s="248"/>
      <c r="M732" s="248"/>
      <c r="N732" s="248"/>
      <c r="O732" s="248"/>
      <c r="P732" s="248"/>
      <c r="Q732" s="248"/>
      <c r="R732" s="248"/>
      <c r="S732" s="248"/>
      <c r="T732" s="248"/>
      <c r="U732" s="248"/>
      <c r="V732" s="248"/>
      <c r="W732" s="248"/>
      <c r="X732" s="248"/>
      <c r="Y732" s="248"/>
      <c r="Z732" s="248"/>
      <c r="AA732" s="248"/>
      <c r="AB732" s="248"/>
    </row>
    <row r="733" spans="2:28" ht="15.75">
      <c r="B733" s="248"/>
      <c r="C733" s="248"/>
      <c r="D733" s="248"/>
      <c r="E733" s="248"/>
      <c r="F733" s="248"/>
      <c r="G733" s="248"/>
      <c r="H733" s="248"/>
      <c r="I733" s="248"/>
      <c r="J733" s="248"/>
      <c r="K733" s="248"/>
      <c r="L733" s="248"/>
      <c r="M733" s="248"/>
      <c r="N733" s="248"/>
      <c r="O733" s="248"/>
      <c r="P733" s="248"/>
      <c r="Q733" s="248"/>
      <c r="R733" s="248"/>
      <c r="S733" s="248"/>
      <c r="T733" s="248"/>
      <c r="U733" s="248"/>
      <c r="V733" s="248"/>
      <c r="W733" s="248"/>
      <c r="X733" s="248"/>
      <c r="Y733" s="248"/>
      <c r="Z733" s="248"/>
      <c r="AA733" s="248"/>
      <c r="AB733" s="248"/>
    </row>
    <row r="734" spans="2:28" ht="15.75">
      <c r="B734" s="248"/>
      <c r="C734" s="248"/>
      <c r="D734" s="248"/>
      <c r="E734" s="248"/>
      <c r="F734" s="248"/>
      <c r="G734" s="248"/>
      <c r="H734" s="248"/>
      <c r="I734" s="248"/>
      <c r="J734" s="248"/>
      <c r="K734" s="248"/>
      <c r="L734" s="248"/>
      <c r="M734" s="248"/>
      <c r="N734" s="248"/>
      <c r="O734" s="248"/>
      <c r="P734" s="248"/>
      <c r="Q734" s="248"/>
      <c r="R734" s="248"/>
      <c r="S734" s="248"/>
      <c r="T734" s="248"/>
      <c r="U734" s="248"/>
      <c r="V734" s="248"/>
      <c r="W734" s="248"/>
      <c r="X734" s="248"/>
      <c r="Y734" s="248"/>
      <c r="Z734" s="248"/>
      <c r="AA734" s="248"/>
      <c r="AB734" s="248"/>
    </row>
    <row r="735" spans="2:28" ht="15.75">
      <c r="B735" s="248"/>
      <c r="C735" s="248"/>
      <c r="D735" s="248"/>
      <c r="E735" s="248"/>
      <c r="F735" s="248"/>
      <c r="G735" s="248"/>
      <c r="H735" s="248"/>
      <c r="I735" s="248"/>
      <c r="J735" s="248"/>
      <c r="K735" s="248"/>
      <c r="L735" s="248"/>
      <c r="M735" s="248"/>
      <c r="N735" s="248"/>
      <c r="O735" s="248"/>
      <c r="P735" s="248"/>
      <c r="Q735" s="248"/>
      <c r="R735" s="248"/>
      <c r="S735" s="248"/>
      <c r="T735" s="248"/>
      <c r="U735" s="248"/>
      <c r="V735" s="248"/>
      <c r="W735" s="248"/>
      <c r="X735" s="248"/>
      <c r="Y735" s="248"/>
      <c r="Z735" s="248"/>
      <c r="AA735" s="248"/>
      <c r="AB735" s="248"/>
    </row>
    <row r="736" spans="2:28" ht="15.75">
      <c r="B736" s="248"/>
      <c r="C736" s="248"/>
      <c r="D736" s="248"/>
      <c r="E736" s="248"/>
      <c r="F736" s="248"/>
      <c r="G736" s="248"/>
      <c r="H736" s="248"/>
      <c r="I736" s="248"/>
      <c r="J736" s="248"/>
      <c r="K736" s="248"/>
      <c r="L736" s="248"/>
      <c r="M736" s="248"/>
      <c r="N736" s="248"/>
      <c r="O736" s="248"/>
      <c r="P736" s="248"/>
      <c r="Q736" s="248"/>
      <c r="R736" s="248"/>
      <c r="S736" s="248"/>
      <c r="T736" s="248"/>
      <c r="U736" s="248"/>
      <c r="V736" s="248"/>
      <c r="W736" s="248"/>
      <c r="X736" s="248"/>
      <c r="Y736" s="248"/>
      <c r="Z736" s="248"/>
      <c r="AA736" s="248"/>
      <c r="AB736" s="248"/>
    </row>
    <row r="737" spans="2:28" ht="15.75">
      <c r="B737" s="248"/>
      <c r="C737" s="248"/>
      <c r="D737" s="248"/>
      <c r="E737" s="248"/>
      <c r="F737" s="248"/>
      <c r="G737" s="248"/>
      <c r="H737" s="248"/>
      <c r="I737" s="248"/>
      <c r="J737" s="248"/>
      <c r="K737" s="248"/>
      <c r="L737" s="248"/>
      <c r="M737" s="248"/>
      <c r="N737" s="248"/>
      <c r="O737" s="248"/>
      <c r="P737" s="248"/>
      <c r="Q737" s="248"/>
      <c r="R737" s="248"/>
      <c r="S737" s="248"/>
      <c r="T737" s="248"/>
      <c r="U737" s="248"/>
      <c r="V737" s="248"/>
      <c r="W737" s="248"/>
      <c r="X737" s="248"/>
      <c r="Y737" s="248"/>
      <c r="Z737" s="248"/>
      <c r="AA737" s="248"/>
      <c r="AB737" s="248"/>
    </row>
    <row r="738" spans="2:28" ht="15.75">
      <c r="B738" s="248"/>
      <c r="C738" s="248"/>
      <c r="D738" s="248"/>
      <c r="E738" s="248"/>
      <c r="F738" s="248"/>
      <c r="G738" s="248"/>
      <c r="H738" s="248"/>
      <c r="I738" s="248"/>
      <c r="J738" s="248"/>
      <c r="K738" s="248"/>
      <c r="L738" s="248"/>
      <c r="M738" s="248"/>
      <c r="N738" s="248"/>
      <c r="O738" s="248"/>
      <c r="P738" s="248"/>
      <c r="Q738" s="248"/>
      <c r="R738" s="248"/>
      <c r="S738" s="248"/>
      <c r="T738" s="248"/>
      <c r="U738" s="248"/>
      <c r="V738" s="248"/>
      <c r="W738" s="248"/>
      <c r="X738" s="248"/>
      <c r="Y738" s="248"/>
      <c r="Z738" s="248"/>
      <c r="AA738" s="248"/>
      <c r="AB738" s="248"/>
    </row>
    <row r="739" spans="2:28" ht="15.75">
      <c r="B739" s="248"/>
      <c r="C739" s="248"/>
      <c r="D739" s="248"/>
      <c r="E739" s="248"/>
      <c r="F739" s="248"/>
      <c r="G739" s="248"/>
      <c r="H739" s="248"/>
      <c r="I739" s="248"/>
      <c r="J739" s="248"/>
      <c r="K739" s="248"/>
      <c r="L739" s="248"/>
      <c r="M739" s="248"/>
      <c r="N739" s="248"/>
      <c r="O739" s="248"/>
      <c r="P739" s="248"/>
      <c r="Q739" s="248"/>
      <c r="R739" s="248"/>
      <c r="S739" s="248"/>
      <c r="T739" s="248"/>
      <c r="U739" s="248"/>
      <c r="V739" s="248"/>
      <c r="W739" s="248"/>
      <c r="X739" s="248"/>
      <c r="Y739" s="248"/>
      <c r="Z739" s="248"/>
      <c r="AA739" s="248"/>
      <c r="AB739" s="248"/>
    </row>
    <row r="740" spans="2:28" ht="15.75">
      <c r="B740" s="248"/>
      <c r="C740" s="248"/>
      <c r="D740" s="248"/>
      <c r="E740" s="248"/>
      <c r="F740" s="248"/>
      <c r="G740" s="248"/>
      <c r="H740" s="248"/>
      <c r="I740" s="248"/>
      <c r="J740" s="248"/>
      <c r="K740" s="248"/>
      <c r="L740" s="248"/>
      <c r="M740" s="248"/>
      <c r="N740" s="248"/>
      <c r="O740" s="248"/>
      <c r="P740" s="248"/>
      <c r="Q740" s="248"/>
      <c r="R740" s="248"/>
      <c r="S740" s="248"/>
      <c r="T740" s="248"/>
      <c r="U740" s="248"/>
      <c r="V740" s="248"/>
      <c r="W740" s="248"/>
      <c r="X740" s="248"/>
      <c r="Y740" s="248"/>
      <c r="Z740" s="248"/>
      <c r="AA740" s="248"/>
      <c r="AB740" s="248"/>
    </row>
    <row r="741" spans="2:28" ht="15.75">
      <c r="B741" s="248"/>
      <c r="C741" s="248"/>
      <c r="D741" s="248"/>
      <c r="E741" s="248"/>
      <c r="F741" s="248"/>
      <c r="G741" s="248"/>
      <c r="H741" s="248"/>
      <c r="I741" s="248"/>
      <c r="J741" s="248"/>
      <c r="K741" s="248"/>
      <c r="L741" s="248"/>
      <c r="M741" s="248"/>
      <c r="N741" s="248"/>
      <c r="O741" s="248"/>
      <c r="P741" s="248"/>
      <c r="Q741" s="248"/>
      <c r="R741" s="248"/>
      <c r="S741" s="248"/>
      <c r="T741" s="248"/>
      <c r="U741" s="248"/>
      <c r="V741" s="248"/>
      <c r="W741" s="248"/>
      <c r="X741" s="248"/>
      <c r="Y741" s="248"/>
      <c r="Z741" s="248"/>
      <c r="AA741" s="248"/>
      <c r="AB741" s="248"/>
    </row>
    <row r="742" spans="2:28" ht="15.75">
      <c r="B742" s="248"/>
      <c r="C742" s="248"/>
      <c r="D742" s="248"/>
      <c r="E742" s="248"/>
      <c r="F742" s="248"/>
      <c r="G742" s="248"/>
      <c r="H742" s="248"/>
      <c r="I742" s="248"/>
      <c r="J742" s="248"/>
      <c r="K742" s="248"/>
      <c r="L742" s="248"/>
      <c r="M742" s="248"/>
      <c r="N742" s="248"/>
      <c r="O742" s="248"/>
      <c r="P742" s="248"/>
      <c r="Q742" s="248"/>
      <c r="R742" s="248"/>
      <c r="S742" s="248"/>
      <c r="T742" s="248"/>
      <c r="U742" s="248"/>
      <c r="V742" s="248"/>
      <c r="W742" s="248"/>
      <c r="X742" s="248"/>
      <c r="Y742" s="248"/>
      <c r="Z742" s="248"/>
      <c r="AA742" s="248"/>
      <c r="AB742" s="248"/>
    </row>
    <row r="743" spans="2:28" ht="15.75">
      <c r="B743" s="248"/>
      <c r="C743" s="248"/>
      <c r="D743" s="248"/>
      <c r="E743" s="248"/>
      <c r="F743" s="248"/>
      <c r="G743" s="248"/>
      <c r="H743" s="248"/>
      <c r="I743" s="248"/>
      <c r="J743" s="248"/>
      <c r="K743" s="248"/>
      <c r="L743" s="248"/>
      <c r="M743" s="248"/>
      <c r="N743" s="248"/>
      <c r="O743" s="248"/>
      <c r="P743" s="248"/>
      <c r="Q743" s="248"/>
      <c r="R743" s="248"/>
      <c r="S743" s="248"/>
      <c r="T743" s="248"/>
      <c r="U743" s="248"/>
      <c r="V743" s="248"/>
      <c r="W743" s="248"/>
      <c r="X743" s="248"/>
      <c r="Y743" s="248"/>
      <c r="Z743" s="248"/>
      <c r="AA743" s="248"/>
      <c r="AB743" s="248"/>
    </row>
    <row r="744" spans="2:28" ht="15.75">
      <c r="B744" s="248"/>
      <c r="C744" s="248"/>
      <c r="D744" s="248"/>
      <c r="E744" s="248"/>
      <c r="F744" s="248"/>
      <c r="G744" s="248"/>
      <c r="H744" s="248"/>
      <c r="I744" s="248"/>
      <c r="J744" s="248"/>
      <c r="K744" s="248"/>
      <c r="L744" s="248"/>
      <c r="M744" s="248"/>
      <c r="N744" s="248"/>
      <c r="O744" s="248"/>
      <c r="P744" s="248"/>
      <c r="Q744" s="248"/>
      <c r="R744" s="248"/>
      <c r="S744" s="248"/>
      <c r="T744" s="248"/>
      <c r="U744" s="248"/>
      <c r="V744" s="248"/>
      <c r="W744" s="248"/>
      <c r="X744" s="248"/>
      <c r="Y744" s="248"/>
      <c r="Z744" s="248"/>
      <c r="AA744" s="248"/>
      <c r="AB744" s="248"/>
    </row>
    <row r="745" spans="2:28" ht="15.75">
      <c r="B745" s="248"/>
      <c r="C745" s="248"/>
      <c r="D745" s="248"/>
      <c r="E745" s="248"/>
      <c r="F745" s="248"/>
      <c r="G745" s="248"/>
      <c r="H745" s="248"/>
      <c r="I745" s="248"/>
      <c r="J745" s="248"/>
      <c r="K745" s="248"/>
      <c r="L745" s="248"/>
      <c r="M745" s="248"/>
      <c r="N745" s="248"/>
      <c r="O745" s="248"/>
      <c r="P745" s="248"/>
      <c r="Q745" s="248"/>
      <c r="R745" s="248"/>
      <c r="S745" s="248"/>
      <c r="T745" s="248"/>
      <c r="U745" s="248"/>
      <c r="V745" s="248"/>
      <c r="W745" s="248"/>
      <c r="X745" s="248"/>
      <c r="Y745" s="248"/>
      <c r="Z745" s="248"/>
      <c r="AA745" s="248"/>
      <c r="AB745" s="248"/>
    </row>
  </sheetData>
  <printOptions/>
  <pageMargins left="0.25" right="0" top="0.25" bottom="0.25" header="0" footer="0"/>
  <pageSetup fitToHeight="1" fitToWidth="1" horizontalDpi="600" verticalDpi="600" orientation="landscape" paperSize="17" scale="74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3"/>
  <sheetViews>
    <sheetView workbookViewId="0" topLeftCell="A5">
      <selection activeCell="M89" sqref="M89"/>
    </sheetView>
  </sheetViews>
  <sheetFormatPr defaultColWidth="9.00390625" defaultRowHeight="15.75"/>
  <cols>
    <col min="1" max="1" width="45.625" style="142" bestFit="1" customWidth="1"/>
    <col min="2" max="2" width="7.00390625" style="142" hidden="1" customWidth="1"/>
    <col min="3" max="9" width="12.375" style="142" hidden="1" customWidth="1"/>
    <col min="10" max="10" width="10.625" style="142" hidden="1" customWidth="1"/>
    <col min="11" max="12" width="12.375" style="142" hidden="1" customWidth="1"/>
    <col min="13" max="16" width="13.625" style="142" bestFit="1" customWidth="1"/>
    <col min="17" max="17" width="13.375" style="142" bestFit="1" customWidth="1"/>
    <col min="18" max="16384" width="9.00390625" style="142" customWidth="1"/>
  </cols>
  <sheetData>
    <row r="1" spans="1:5" ht="15.75">
      <c r="A1" s="289" t="s">
        <v>410</v>
      </c>
      <c r="B1" s="172"/>
      <c r="C1" s="172"/>
      <c r="D1" s="172"/>
      <c r="E1" s="172"/>
    </row>
    <row r="2" spans="1:5" ht="15.75">
      <c r="A2" s="290" t="s">
        <v>411</v>
      </c>
      <c r="B2" s="172"/>
      <c r="C2" s="172"/>
      <c r="D2" s="172"/>
      <c r="E2" s="172"/>
    </row>
    <row r="3" spans="1:5" ht="15.75">
      <c r="A3" s="289" t="s">
        <v>412</v>
      </c>
      <c r="B3" s="172"/>
      <c r="C3" s="172"/>
      <c r="D3" s="172"/>
      <c r="E3" s="172"/>
    </row>
    <row r="4" spans="1:5" ht="15.75">
      <c r="A4" s="291" t="s">
        <v>413</v>
      </c>
      <c r="B4" s="172"/>
      <c r="C4" s="172"/>
      <c r="D4" s="172"/>
      <c r="E4" s="172"/>
    </row>
    <row r="5" spans="2:5" ht="15.75">
      <c r="B5" s="172"/>
      <c r="C5" s="172"/>
      <c r="D5" s="172"/>
      <c r="E5" s="172"/>
    </row>
    <row r="6" spans="1:17" ht="15.75">
      <c r="A6" s="234" t="s">
        <v>0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35">
        <v>2019</v>
      </c>
      <c r="N6" s="235">
        <v>2020</v>
      </c>
      <c r="O6" s="235">
        <v>2021</v>
      </c>
      <c r="P6" s="235">
        <v>2022</v>
      </c>
      <c r="Q6" s="236">
        <v>2023</v>
      </c>
    </row>
    <row r="7" spans="1:17" ht="15.75">
      <c r="A7" s="187" t="s">
        <v>391</v>
      </c>
      <c r="B7" s="292"/>
      <c r="C7" s="293">
        <v>607945</v>
      </c>
      <c r="D7" s="293" t="e">
        <f>C92</f>
        <v>#REF!</v>
      </c>
      <c r="E7" s="293" t="e">
        <f>D92</f>
        <v>#REF!</v>
      </c>
      <c r="F7" s="293" t="e">
        <f>E92</f>
        <v>#REF!</v>
      </c>
      <c r="G7" s="293" t="e">
        <f>F92</f>
        <v>#REF!</v>
      </c>
      <c r="H7" s="293" t="e">
        <f>#REF!</f>
        <v>#REF!</v>
      </c>
      <c r="I7" s="293">
        <v>3001791</v>
      </c>
      <c r="J7" s="293"/>
      <c r="K7" s="293"/>
      <c r="L7" s="293"/>
      <c r="M7" s="298">
        <v>4914954</v>
      </c>
      <c r="N7" s="298">
        <v>9373009</v>
      </c>
      <c r="O7" s="298">
        <v>4807779</v>
      </c>
      <c r="P7" s="298">
        <v>1903109</v>
      </c>
      <c r="Q7" s="300">
        <v>847819</v>
      </c>
    </row>
    <row r="8" spans="1:17" ht="15.75">
      <c r="A8" s="72" t="s">
        <v>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301"/>
    </row>
    <row r="9" spans="1:17" ht="15.75">
      <c r="A9" s="191" t="s">
        <v>486</v>
      </c>
      <c r="B9" s="292"/>
      <c r="C9" s="174" t="e">
        <f>#REF!</f>
        <v>#REF!</v>
      </c>
      <c r="D9" s="174" t="e">
        <f>#REF!</f>
        <v>#REF!</v>
      </c>
      <c r="E9" s="174" t="e">
        <f>#REF!</f>
        <v>#REF!</v>
      </c>
      <c r="F9" s="174" t="e">
        <f>#REF!</f>
        <v>#REF!</v>
      </c>
      <c r="G9" s="174" t="e">
        <f>#REF!</f>
        <v>#REF!</v>
      </c>
      <c r="H9" s="174">
        <f>'[4]Fund Summary'!P50</f>
        <v>2743508</v>
      </c>
      <c r="I9" s="174"/>
      <c r="J9" s="174"/>
      <c r="K9" s="174"/>
      <c r="L9" s="174"/>
      <c r="M9" s="211">
        <v>4650900</v>
      </c>
      <c r="N9" s="211">
        <v>4935900</v>
      </c>
      <c r="O9" s="211">
        <v>5221100</v>
      </c>
      <c r="P9" s="211">
        <v>5511600</v>
      </c>
      <c r="Q9" s="217">
        <v>5807300</v>
      </c>
    </row>
    <row r="10" spans="1:17" ht="15.75">
      <c r="A10" s="191" t="s">
        <v>414</v>
      </c>
      <c r="B10" s="292"/>
      <c r="C10" s="294">
        <v>1510598</v>
      </c>
      <c r="D10" s="104">
        <v>1083944</v>
      </c>
      <c r="E10" s="104">
        <v>974747</v>
      </c>
      <c r="F10" s="104" t="e">
        <f>#REF!</f>
        <v>#REF!</v>
      </c>
      <c r="G10" s="104" t="e">
        <f>#REF!</f>
        <v>#REF!</v>
      </c>
      <c r="H10" s="104">
        <f>'[4]Fund Summary'!P12</f>
        <v>652983</v>
      </c>
      <c r="I10" s="104"/>
      <c r="J10" s="104"/>
      <c r="K10" s="104"/>
      <c r="L10" s="104"/>
      <c r="M10" s="104">
        <v>585000</v>
      </c>
      <c r="N10" s="104">
        <v>526500</v>
      </c>
      <c r="O10" s="104">
        <v>473900</v>
      </c>
      <c r="P10" s="104">
        <v>450200</v>
      </c>
      <c r="Q10" s="109">
        <v>405200</v>
      </c>
    </row>
    <row r="11" spans="1:17" ht="15.75">
      <c r="A11" s="191" t="s">
        <v>415</v>
      </c>
      <c r="B11" s="292"/>
      <c r="C11" s="294">
        <v>0</v>
      </c>
      <c r="D11" s="104">
        <v>0</v>
      </c>
      <c r="E11" s="104">
        <v>0</v>
      </c>
      <c r="F11" s="104" t="e">
        <f>#REF!</f>
        <v>#REF!</v>
      </c>
      <c r="G11" s="104" t="e">
        <f>#REF!</f>
        <v>#REF!</v>
      </c>
      <c r="H11" s="104" t="e">
        <f>#REF!</f>
        <v>#REF!</v>
      </c>
      <c r="I11" s="104"/>
      <c r="J11" s="104"/>
      <c r="K11" s="104"/>
      <c r="L11" s="104"/>
      <c r="M11" s="104">
        <v>30000000</v>
      </c>
      <c r="N11" s="104"/>
      <c r="O11" s="104"/>
      <c r="P11" s="104"/>
      <c r="Q11" s="109"/>
    </row>
    <row r="12" spans="1:17" ht="15.75">
      <c r="A12" s="73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5"/>
      <c r="N12" s="295"/>
      <c r="O12" s="295"/>
      <c r="P12" s="295"/>
      <c r="Q12" s="302"/>
    </row>
    <row r="13" spans="1:17" ht="20.25">
      <c r="A13" s="193" t="s">
        <v>4</v>
      </c>
      <c r="B13" s="180">
        <f>SUM(B9:B11)</f>
        <v>0</v>
      </c>
      <c r="C13" s="180" t="e">
        <f>SUM(C9:C11)</f>
        <v>#REF!</v>
      </c>
      <c r="D13" s="180" t="e">
        <f>SUM(D9:D11)</f>
        <v>#REF!</v>
      </c>
      <c r="E13" s="180" t="e">
        <f>SUM(E9:E11)</f>
        <v>#REF!</v>
      </c>
      <c r="F13" s="180" t="e">
        <f>SUM(F9:F11)</f>
        <v>#REF!</v>
      </c>
      <c r="G13" s="180" t="e">
        <f>SUM(G9:G12)</f>
        <v>#REF!</v>
      </c>
      <c r="H13" s="180" t="e">
        <f>SUM(H9:H11)</f>
        <v>#REF!</v>
      </c>
      <c r="I13" s="180"/>
      <c r="J13" s="180"/>
      <c r="K13" s="180"/>
      <c r="L13" s="180"/>
      <c r="M13" s="181">
        <f>SUM(M9:M11)</f>
        <v>35235900</v>
      </c>
      <c r="N13" s="181">
        <f>SUM(N9:N11)</f>
        <v>5462400</v>
      </c>
      <c r="O13" s="181">
        <f>SUM(O9:O11)</f>
        <v>5695000</v>
      </c>
      <c r="P13" s="181">
        <f>SUM(P9:P11)</f>
        <v>5961800</v>
      </c>
      <c r="Q13" s="194">
        <f>SUM(Q9:Q12)</f>
        <v>6212500</v>
      </c>
    </row>
    <row r="14" spans="1:17" ht="15.75">
      <c r="A14" s="72" t="s">
        <v>487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9"/>
    </row>
    <row r="15" spans="1:17" ht="15.75">
      <c r="A15" s="73" t="s">
        <v>490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>
        <v>4314945</v>
      </c>
      <c r="N15" s="104">
        <v>4476430</v>
      </c>
      <c r="O15" s="104">
        <v>5457270</v>
      </c>
      <c r="P15" s="104">
        <v>5586790</v>
      </c>
      <c r="Q15" s="109">
        <v>5720070</v>
      </c>
    </row>
    <row r="16" spans="1:17" ht="15.75">
      <c r="A16" s="303" t="s">
        <v>416</v>
      </c>
      <c r="B16" s="174"/>
      <c r="C16" s="174">
        <v>50500</v>
      </c>
      <c r="D16" s="174">
        <v>30527</v>
      </c>
      <c r="E16" s="174" t="e">
        <f>#REF!</f>
        <v>#REF!</v>
      </c>
      <c r="F16" s="174">
        <v>53554</v>
      </c>
      <c r="G16" s="174" t="e">
        <f>#REF!</f>
        <v>#REF!</v>
      </c>
      <c r="H16" s="174">
        <v>120028</v>
      </c>
      <c r="I16" s="174">
        <f>25199+40982</f>
        <v>66181</v>
      </c>
      <c r="J16" s="174">
        <v>71628</v>
      </c>
      <c r="K16" s="174">
        <f>13557+15652</f>
        <v>29209</v>
      </c>
      <c r="L16" s="174">
        <v>210214</v>
      </c>
      <c r="M16" s="211"/>
      <c r="N16" s="211"/>
      <c r="O16" s="211"/>
      <c r="P16" s="211"/>
      <c r="Q16" s="217"/>
    </row>
    <row r="17" spans="1:17" ht="15.75">
      <c r="A17" s="137" t="s">
        <v>417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296">
        <v>16000</v>
      </c>
      <c r="N17" s="174"/>
      <c r="O17" s="174"/>
      <c r="Q17" s="143"/>
    </row>
    <row r="18" spans="1:17" ht="15.75">
      <c r="A18" s="137" t="s">
        <v>418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296">
        <v>59000</v>
      </c>
      <c r="N18" s="174"/>
      <c r="O18" s="174"/>
      <c r="Q18" s="143"/>
    </row>
    <row r="19" spans="1:17" ht="15.75">
      <c r="A19" s="137" t="s">
        <v>419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296">
        <v>10500</v>
      </c>
      <c r="N19" s="174"/>
      <c r="O19" s="174"/>
      <c r="Q19" s="143"/>
    </row>
    <row r="20" spans="1:17" ht="15.75">
      <c r="A20" s="137" t="s">
        <v>420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296">
        <v>63300</v>
      </c>
      <c r="N20" s="174"/>
      <c r="O20" s="174"/>
      <c r="Q20" s="143"/>
    </row>
    <row r="21" spans="1:17" ht="15.75">
      <c r="A21" s="137" t="s">
        <v>421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04">
        <v>70000</v>
      </c>
      <c r="O21" s="174"/>
      <c r="Q21" s="143"/>
    </row>
    <row r="22" spans="1:17" ht="15.75">
      <c r="A22" s="137" t="s">
        <v>422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04">
        <v>60000</v>
      </c>
      <c r="O22" s="174"/>
      <c r="Q22" s="143"/>
    </row>
    <row r="23" spans="1:17" ht="15.75">
      <c r="A23" s="137" t="s">
        <v>422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04">
        <v>60000</v>
      </c>
      <c r="O23" s="174"/>
      <c r="Q23" s="143"/>
    </row>
    <row r="24" spans="1:17" ht="15.75">
      <c r="A24" s="137" t="s">
        <v>423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04">
        <v>60000</v>
      </c>
      <c r="O24" s="174"/>
      <c r="Q24" s="143"/>
    </row>
    <row r="25" spans="1:17" ht="15.75">
      <c r="A25" s="137" t="s">
        <v>424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38">
        <v>60000</v>
      </c>
      <c r="Q25" s="143"/>
    </row>
    <row r="26" spans="1:17" ht="15.75">
      <c r="A26" s="137" t="s">
        <v>425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Q26" s="143"/>
    </row>
    <row r="27" spans="1:17" ht="15.75">
      <c r="A27" s="137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Q27" s="143"/>
    </row>
    <row r="28" spans="1:17" ht="15.75">
      <c r="A28" s="303" t="s">
        <v>426</v>
      </c>
      <c r="B28" s="104"/>
      <c r="C28" s="104"/>
      <c r="D28" s="104"/>
      <c r="E28" s="104"/>
      <c r="F28" s="104"/>
      <c r="G28" s="104"/>
      <c r="H28" s="104"/>
      <c r="I28" s="104"/>
      <c r="J28" s="104">
        <v>663267</v>
      </c>
      <c r="K28" s="104"/>
      <c r="L28" s="104"/>
      <c r="M28" s="104"/>
      <c r="N28" s="104"/>
      <c r="O28" s="104"/>
      <c r="Q28" s="143"/>
    </row>
    <row r="29" spans="1:17" ht="15.75">
      <c r="A29" s="304" t="s">
        <v>427</v>
      </c>
      <c r="B29" s="294"/>
      <c r="C29" s="294"/>
      <c r="D29" s="294"/>
      <c r="E29" s="294"/>
      <c r="F29" s="104"/>
      <c r="G29" s="104"/>
      <c r="H29" s="104"/>
      <c r="I29" s="104"/>
      <c r="J29" s="104"/>
      <c r="K29" s="104">
        <v>728</v>
      </c>
      <c r="L29" s="104">
        <v>19391</v>
      </c>
      <c r="M29" s="104"/>
      <c r="N29" s="104"/>
      <c r="O29" s="104"/>
      <c r="Q29" s="143"/>
    </row>
    <row r="30" spans="1:17" ht="15.75">
      <c r="A30" s="304" t="s">
        <v>428</v>
      </c>
      <c r="B30" s="294"/>
      <c r="C30" s="294"/>
      <c r="D30" s="294"/>
      <c r="E30" s="294"/>
      <c r="F30" s="104"/>
      <c r="G30" s="104">
        <v>0</v>
      </c>
      <c r="H30" s="104">
        <v>0</v>
      </c>
      <c r="I30" s="104"/>
      <c r="J30" s="104"/>
      <c r="K30" s="104">
        <v>202782</v>
      </c>
      <c r="L30" s="104"/>
      <c r="M30" s="104"/>
      <c r="N30" s="104"/>
      <c r="O30" s="104"/>
      <c r="Q30" s="143"/>
    </row>
    <row r="31" spans="1:17" ht="15.75">
      <c r="A31" s="304" t="s">
        <v>429</v>
      </c>
      <c r="B31" s="294"/>
      <c r="C31" s="294"/>
      <c r="D31" s="294"/>
      <c r="E31" s="294"/>
      <c r="F31" s="104"/>
      <c r="G31" s="104">
        <v>0</v>
      </c>
      <c r="H31" s="104">
        <v>0</v>
      </c>
      <c r="I31" s="104"/>
      <c r="J31" s="104"/>
      <c r="K31" s="104"/>
      <c r="L31" s="104"/>
      <c r="M31" s="104"/>
      <c r="N31" s="104"/>
      <c r="O31" s="104"/>
      <c r="Q31" s="143"/>
    </row>
    <row r="32" spans="1:17" ht="15.75">
      <c r="A32" s="304" t="s">
        <v>430</v>
      </c>
      <c r="B32" s="294"/>
      <c r="C32" s="294"/>
      <c r="D32" s="294"/>
      <c r="E32" s="294"/>
      <c r="F32" s="104"/>
      <c r="G32" s="104">
        <v>0</v>
      </c>
      <c r="H32" s="104">
        <v>0</v>
      </c>
      <c r="I32" s="104"/>
      <c r="J32" s="104"/>
      <c r="K32" s="104"/>
      <c r="L32" s="104"/>
      <c r="M32" s="104"/>
      <c r="N32" s="104"/>
      <c r="O32" s="104"/>
      <c r="Q32" s="143"/>
    </row>
    <row r="33" spans="1:17" ht="15.75">
      <c r="A33" s="304" t="s">
        <v>431</v>
      </c>
      <c r="B33" s="294"/>
      <c r="C33" s="294"/>
      <c r="D33" s="294"/>
      <c r="E33" s="294"/>
      <c r="F33" s="104"/>
      <c r="G33" s="104"/>
      <c r="H33" s="297">
        <f>297051+53328</f>
        <v>350379</v>
      </c>
      <c r="I33" s="297"/>
      <c r="J33" s="104"/>
      <c r="K33" s="104"/>
      <c r="L33" s="104"/>
      <c r="M33" s="104"/>
      <c r="N33" s="104"/>
      <c r="O33" s="104"/>
      <c r="Q33" s="143"/>
    </row>
    <row r="34" spans="1:17" ht="15.75">
      <c r="A34" s="304" t="s">
        <v>432</v>
      </c>
      <c r="B34" s="294"/>
      <c r="C34" s="294"/>
      <c r="D34" s="294"/>
      <c r="E34" s="294"/>
      <c r="F34" s="104"/>
      <c r="G34" s="104"/>
      <c r="H34" s="297"/>
      <c r="I34" s="297"/>
      <c r="J34" s="104"/>
      <c r="K34" s="104"/>
      <c r="L34" s="104"/>
      <c r="M34" s="104">
        <v>141500</v>
      </c>
      <c r="N34" s="104"/>
      <c r="O34" s="104"/>
      <c r="Q34" s="143"/>
    </row>
    <row r="35" spans="1:17" ht="15.75">
      <c r="A35" s="304" t="s">
        <v>433</v>
      </c>
      <c r="B35" s="294"/>
      <c r="C35" s="294">
        <v>0</v>
      </c>
      <c r="D35" s="294">
        <v>0</v>
      </c>
      <c r="E35" s="294">
        <v>0</v>
      </c>
      <c r="F35" s="104">
        <v>0</v>
      </c>
      <c r="G35" s="104">
        <v>0</v>
      </c>
      <c r="H35" s="104"/>
      <c r="I35" s="104">
        <f>253066+85017+767+618</f>
        <v>339468</v>
      </c>
      <c r="J35" s="104"/>
      <c r="K35" s="104">
        <f>550109+236142</f>
        <v>786251</v>
      </c>
      <c r="L35" s="104">
        <f>328809+1039248</f>
        <v>1368057</v>
      </c>
      <c r="M35" s="104"/>
      <c r="N35" s="104"/>
      <c r="O35" s="104"/>
      <c r="Q35" s="143"/>
    </row>
    <row r="36" spans="1:17" ht="15.75">
      <c r="A36" s="304" t="s">
        <v>434</v>
      </c>
      <c r="B36" s="294"/>
      <c r="C36" s="294"/>
      <c r="D36" s="294"/>
      <c r="E36" s="294"/>
      <c r="F36" s="104"/>
      <c r="G36" s="104"/>
      <c r="H36" s="104"/>
      <c r="I36" s="104"/>
      <c r="J36" s="104"/>
      <c r="K36" s="104">
        <v>31724</v>
      </c>
      <c r="L36" s="104"/>
      <c r="M36" s="104"/>
      <c r="N36" s="104"/>
      <c r="O36" s="104"/>
      <c r="Q36" s="143"/>
    </row>
    <row r="37" spans="1:17" ht="15.75">
      <c r="A37" s="304" t="s">
        <v>435</v>
      </c>
      <c r="B37" s="294"/>
      <c r="C37" s="294"/>
      <c r="D37" s="294"/>
      <c r="E37" s="294"/>
      <c r="F37" s="104"/>
      <c r="G37" s="104"/>
      <c r="H37" s="104"/>
      <c r="I37" s="104"/>
      <c r="J37" s="104"/>
      <c r="K37" s="104">
        <v>305422</v>
      </c>
      <c r="L37" s="104"/>
      <c r="M37" s="104"/>
      <c r="N37" s="104"/>
      <c r="O37" s="104"/>
      <c r="Q37" s="143"/>
    </row>
    <row r="38" spans="1:17" ht="15.75">
      <c r="A38" s="304" t="s">
        <v>436</v>
      </c>
      <c r="B38" s="294"/>
      <c r="C38" s="294"/>
      <c r="D38" s="294"/>
      <c r="E38" s="294"/>
      <c r="F38" s="104"/>
      <c r="G38" s="104"/>
      <c r="H38" s="104"/>
      <c r="I38" s="104"/>
      <c r="J38" s="104"/>
      <c r="K38" s="104">
        <v>472662</v>
      </c>
      <c r="L38" s="104"/>
      <c r="M38" s="104"/>
      <c r="N38" s="104"/>
      <c r="O38" s="104"/>
      <c r="Q38" s="143"/>
    </row>
    <row r="39" spans="1:17" ht="15.75">
      <c r="A39" s="304" t="s">
        <v>437</v>
      </c>
      <c r="B39" s="294"/>
      <c r="C39" s="294"/>
      <c r="D39" s="294"/>
      <c r="E39" s="294"/>
      <c r="F39" s="104"/>
      <c r="G39" s="104"/>
      <c r="H39" s="297"/>
      <c r="I39" s="297"/>
      <c r="J39" s="104"/>
      <c r="K39" s="104"/>
      <c r="L39" s="104"/>
      <c r="M39" s="104">
        <v>50000</v>
      </c>
      <c r="N39" s="104"/>
      <c r="O39" s="104"/>
      <c r="Q39" s="143"/>
    </row>
    <row r="40" spans="1:17" ht="15.75">
      <c r="A40" s="197" t="s">
        <v>438</v>
      </c>
      <c r="B40" s="104"/>
      <c r="C40" s="104"/>
      <c r="D40" s="104"/>
      <c r="E40" s="104"/>
      <c r="F40" s="104"/>
      <c r="G40" s="104"/>
      <c r="H40" s="104">
        <f>74192</f>
        <v>74192</v>
      </c>
      <c r="I40" s="104">
        <f>86320</f>
        <v>86320</v>
      </c>
      <c r="J40" s="104"/>
      <c r="K40" s="104"/>
      <c r="L40" s="104"/>
      <c r="M40" s="104">
        <v>68000</v>
      </c>
      <c r="N40" s="104"/>
      <c r="O40" s="104"/>
      <c r="Q40" s="143"/>
    </row>
    <row r="41" spans="1:17" ht="15.75">
      <c r="A41" s="197" t="s">
        <v>439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Q41" s="143"/>
    </row>
    <row r="42" spans="1:17" ht="15.75">
      <c r="A42" s="197" t="s">
        <v>440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Q42" s="143"/>
    </row>
    <row r="43" spans="1:17" ht="15.75">
      <c r="A43" s="191" t="s">
        <v>441</v>
      </c>
      <c r="B43" s="294">
        <v>49</v>
      </c>
      <c r="C43" s="294">
        <v>24471</v>
      </c>
      <c r="D43" s="294">
        <v>7130</v>
      </c>
      <c r="E43" s="294">
        <v>0</v>
      </c>
      <c r="F43" s="104">
        <v>0</v>
      </c>
      <c r="G43" s="104"/>
      <c r="H43" s="104">
        <v>0</v>
      </c>
      <c r="I43" s="104"/>
      <c r="J43" s="104"/>
      <c r="K43" s="104"/>
      <c r="L43" s="104"/>
      <c r="M43" s="104"/>
      <c r="N43" s="104"/>
      <c r="O43" s="104"/>
      <c r="Q43" s="143"/>
    </row>
    <row r="44" spans="1:17" ht="15.75">
      <c r="A44" s="191" t="s">
        <v>442</v>
      </c>
      <c r="B44" s="294"/>
      <c r="C44" s="294">
        <v>265</v>
      </c>
      <c r="D44" s="294">
        <v>0</v>
      </c>
      <c r="E44" s="294">
        <v>0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Q44" s="143"/>
    </row>
    <row r="45" spans="1:17" ht="15.75">
      <c r="A45" s="191" t="s">
        <v>443</v>
      </c>
      <c r="B45" s="294"/>
      <c r="C45" s="294"/>
      <c r="D45" s="294">
        <v>0</v>
      </c>
      <c r="E45" s="294">
        <v>0</v>
      </c>
      <c r="F45" s="104">
        <v>67720</v>
      </c>
      <c r="G45" s="104" t="e">
        <f>#REF!</f>
        <v>#REF!</v>
      </c>
      <c r="H45" s="104">
        <v>0</v>
      </c>
      <c r="I45" s="104"/>
      <c r="J45" s="104"/>
      <c r="K45" s="104"/>
      <c r="L45" s="104"/>
      <c r="M45" s="104"/>
      <c r="N45" s="104"/>
      <c r="O45" s="104"/>
      <c r="Q45" s="143"/>
    </row>
    <row r="46" spans="1:17" ht="15.75">
      <c r="A46" s="197" t="s">
        <v>488</v>
      </c>
      <c r="B46" s="294"/>
      <c r="C46" s="294"/>
      <c r="D46" s="294"/>
      <c r="E46" s="294"/>
      <c r="F46" s="294"/>
      <c r="G46" s="104"/>
      <c r="H46" s="294"/>
      <c r="I46" s="294"/>
      <c r="J46" s="294"/>
      <c r="K46" s="294"/>
      <c r="L46" s="294"/>
      <c r="M46" s="294"/>
      <c r="N46" s="294"/>
      <c r="O46" s="294"/>
      <c r="Q46" s="143"/>
    </row>
    <row r="47" spans="1:17" ht="15.75">
      <c r="A47" s="197" t="s">
        <v>444</v>
      </c>
      <c r="B47" s="294"/>
      <c r="C47" s="294"/>
      <c r="D47" s="294"/>
      <c r="E47" s="294"/>
      <c r="F47" s="294"/>
      <c r="G47" s="104"/>
      <c r="H47" s="294"/>
      <c r="I47" s="294"/>
      <c r="J47" s="294"/>
      <c r="K47" s="294"/>
      <c r="L47" s="294"/>
      <c r="M47" s="294"/>
      <c r="N47" s="294"/>
      <c r="O47" s="294"/>
      <c r="Q47" s="143"/>
    </row>
    <row r="48" spans="1:17" ht="15.75">
      <c r="A48" s="197" t="s">
        <v>445</v>
      </c>
      <c r="B48" s="294"/>
      <c r="C48" s="294"/>
      <c r="D48" s="294"/>
      <c r="E48" s="294"/>
      <c r="F48" s="294"/>
      <c r="G48" s="104"/>
      <c r="H48" s="294"/>
      <c r="I48" s="294"/>
      <c r="J48" s="294"/>
      <c r="K48" s="294"/>
      <c r="L48" s="294"/>
      <c r="M48" s="294"/>
      <c r="N48" s="294"/>
      <c r="O48" s="294"/>
      <c r="Q48" s="143"/>
    </row>
    <row r="49" spans="1:17" ht="15.75">
      <c r="A49" s="197" t="s">
        <v>446</v>
      </c>
      <c r="B49" s="294"/>
      <c r="C49" s="294"/>
      <c r="D49" s="294"/>
      <c r="E49" s="294"/>
      <c r="F49" s="294"/>
      <c r="G49" s="104"/>
      <c r="H49" s="294"/>
      <c r="I49" s="294"/>
      <c r="J49" s="294"/>
      <c r="K49" s="294"/>
      <c r="L49" s="294"/>
      <c r="M49" s="294"/>
      <c r="N49" s="294"/>
      <c r="O49" s="294"/>
      <c r="Q49" s="143"/>
    </row>
    <row r="50" spans="1:17" ht="15.75">
      <c r="A50" s="197" t="s">
        <v>447</v>
      </c>
      <c r="B50" s="294"/>
      <c r="C50" s="294"/>
      <c r="D50" s="294"/>
      <c r="E50" s="294"/>
      <c r="F50" s="294"/>
      <c r="G50" s="104"/>
      <c r="H50" s="294"/>
      <c r="I50" s="294"/>
      <c r="J50" s="294"/>
      <c r="K50" s="294"/>
      <c r="L50" s="294"/>
      <c r="M50" s="294"/>
      <c r="N50" s="294"/>
      <c r="O50" s="294"/>
      <c r="Q50" s="143"/>
    </row>
    <row r="51" spans="1:17" ht="15.75">
      <c r="A51" s="197" t="s">
        <v>448</v>
      </c>
      <c r="B51" s="294"/>
      <c r="C51" s="294"/>
      <c r="D51" s="294"/>
      <c r="E51" s="294"/>
      <c r="F51" s="294"/>
      <c r="G51" s="104"/>
      <c r="H51" s="294"/>
      <c r="I51" s="294"/>
      <c r="J51" s="294"/>
      <c r="K51" s="294"/>
      <c r="L51" s="294"/>
      <c r="M51" s="294">
        <v>20000</v>
      </c>
      <c r="N51" s="294"/>
      <c r="O51" s="294"/>
      <c r="Q51" s="143"/>
    </row>
    <row r="52" spans="1:17" ht="15.75">
      <c r="A52" s="304" t="s">
        <v>449</v>
      </c>
      <c r="B52" s="294"/>
      <c r="C52" s="294"/>
      <c r="D52" s="294"/>
      <c r="E52" s="294"/>
      <c r="F52" s="294"/>
      <c r="G52" s="104"/>
      <c r="H52" s="294"/>
      <c r="I52" s="294"/>
      <c r="J52" s="294"/>
      <c r="K52" s="294"/>
      <c r="L52" s="294"/>
      <c r="M52" s="104"/>
      <c r="N52" s="104"/>
      <c r="O52" s="104"/>
      <c r="Q52" s="143"/>
    </row>
    <row r="53" spans="1:17" ht="15.75">
      <c r="A53" s="197" t="s">
        <v>450</v>
      </c>
      <c r="B53" s="294"/>
      <c r="C53" s="294"/>
      <c r="D53" s="294"/>
      <c r="E53" s="294"/>
      <c r="F53" s="294"/>
      <c r="G53" s="104"/>
      <c r="H53" s="294"/>
      <c r="I53" s="294"/>
      <c r="J53" s="294"/>
      <c r="K53" s="294"/>
      <c r="L53" s="294"/>
      <c r="M53" s="294"/>
      <c r="N53" s="294"/>
      <c r="O53" s="294"/>
      <c r="Q53" s="143"/>
    </row>
    <row r="54" spans="1:17" ht="15.75">
      <c r="A54" s="197" t="s">
        <v>451</v>
      </c>
      <c r="B54" s="294"/>
      <c r="C54" s="294"/>
      <c r="D54" s="294"/>
      <c r="E54" s="294"/>
      <c r="F54" s="294"/>
      <c r="G54" s="104"/>
      <c r="H54" s="294"/>
      <c r="I54" s="294"/>
      <c r="J54" s="294"/>
      <c r="K54" s="294"/>
      <c r="L54" s="294"/>
      <c r="M54" s="294"/>
      <c r="N54" s="294"/>
      <c r="O54" s="294"/>
      <c r="Q54" s="143"/>
    </row>
    <row r="55" spans="1:17" ht="15.75">
      <c r="A55" s="197" t="s">
        <v>452</v>
      </c>
      <c r="B55" s="294"/>
      <c r="C55" s="294"/>
      <c r="D55" s="294"/>
      <c r="E55" s="294"/>
      <c r="F55" s="294"/>
      <c r="G55" s="104"/>
      <c r="H55" s="294"/>
      <c r="I55" s="294"/>
      <c r="J55" s="294"/>
      <c r="K55" s="294"/>
      <c r="L55" s="294"/>
      <c r="M55" s="294"/>
      <c r="N55" s="294"/>
      <c r="O55" s="294"/>
      <c r="Q55" s="143"/>
    </row>
    <row r="56" spans="1:17" ht="15.75">
      <c r="A56" s="197" t="s">
        <v>453</v>
      </c>
      <c r="B56" s="294"/>
      <c r="C56" s="294"/>
      <c r="D56" s="294"/>
      <c r="E56" s="294"/>
      <c r="F56" s="294"/>
      <c r="G56" s="104"/>
      <c r="H56" s="294"/>
      <c r="I56" s="294"/>
      <c r="J56" s="294"/>
      <c r="K56" s="294"/>
      <c r="L56" s="294"/>
      <c r="M56" s="294"/>
      <c r="N56" s="294"/>
      <c r="O56" s="294"/>
      <c r="Q56" s="143"/>
    </row>
    <row r="57" spans="1:17" ht="15.75">
      <c r="A57" s="197" t="s">
        <v>454</v>
      </c>
      <c r="B57" s="294"/>
      <c r="C57" s="294"/>
      <c r="D57" s="294"/>
      <c r="E57" s="294"/>
      <c r="F57" s="294"/>
      <c r="G57" s="104"/>
      <c r="H57" s="294"/>
      <c r="I57" s="294"/>
      <c r="J57" s="294"/>
      <c r="K57" s="294"/>
      <c r="L57" s="294"/>
      <c r="M57" s="294">
        <v>977400</v>
      </c>
      <c r="N57" s="294"/>
      <c r="O57" s="294"/>
      <c r="Q57" s="143"/>
    </row>
    <row r="58" spans="1:17" ht="15.75">
      <c r="A58" s="197" t="s">
        <v>455</v>
      </c>
      <c r="B58" s="294"/>
      <c r="C58" s="294"/>
      <c r="D58" s="294"/>
      <c r="E58" s="294"/>
      <c r="F58" s="294"/>
      <c r="G58" s="104"/>
      <c r="H58" s="294"/>
      <c r="I58" s="294"/>
      <c r="J58" s="294"/>
      <c r="K58" s="294"/>
      <c r="L58" s="294"/>
      <c r="M58" s="294">
        <v>1000000</v>
      </c>
      <c r="N58" s="294"/>
      <c r="O58" s="294"/>
      <c r="Q58" s="143"/>
    </row>
    <row r="59" spans="1:17" ht="15.75">
      <c r="A59" s="197" t="s">
        <v>456</v>
      </c>
      <c r="B59" s="294"/>
      <c r="C59" s="294"/>
      <c r="D59" s="294"/>
      <c r="E59" s="294"/>
      <c r="F59" s="294"/>
      <c r="G59" s="104"/>
      <c r="H59" s="294"/>
      <c r="I59" s="294"/>
      <c r="J59" s="294"/>
      <c r="K59" s="294"/>
      <c r="L59" s="294"/>
      <c r="M59" s="294"/>
      <c r="N59" s="294"/>
      <c r="O59" s="294">
        <v>600000</v>
      </c>
      <c r="Q59" s="143"/>
    </row>
    <row r="60" spans="1:17" ht="15.75">
      <c r="A60" s="197" t="s">
        <v>457</v>
      </c>
      <c r="B60" s="294"/>
      <c r="C60" s="294"/>
      <c r="D60" s="294"/>
      <c r="E60" s="294"/>
      <c r="F60" s="294"/>
      <c r="G60" s="104"/>
      <c r="H60" s="294"/>
      <c r="I60" s="294"/>
      <c r="J60" s="294"/>
      <c r="K60" s="294"/>
      <c r="L60" s="294"/>
      <c r="M60" s="294"/>
      <c r="N60" s="294">
        <v>750000</v>
      </c>
      <c r="O60" s="294"/>
      <c r="Q60" s="143"/>
    </row>
    <row r="61" spans="1:17" ht="15.75">
      <c r="A61" s="197" t="s">
        <v>458</v>
      </c>
      <c r="B61" s="294"/>
      <c r="C61" s="294"/>
      <c r="D61" s="294"/>
      <c r="E61" s="294"/>
      <c r="F61" s="294"/>
      <c r="G61" s="104"/>
      <c r="H61" s="294"/>
      <c r="I61" s="294"/>
      <c r="J61" s="294"/>
      <c r="K61" s="294"/>
      <c r="L61" s="294"/>
      <c r="M61" s="294"/>
      <c r="N61" s="294">
        <v>750000</v>
      </c>
      <c r="O61" s="294"/>
      <c r="Q61" s="143"/>
    </row>
    <row r="62" spans="1:17" ht="15.75">
      <c r="A62" s="197" t="s">
        <v>459</v>
      </c>
      <c r="B62" s="294"/>
      <c r="C62" s="294"/>
      <c r="D62" s="294"/>
      <c r="E62" s="294"/>
      <c r="F62" s="294"/>
      <c r="G62" s="104"/>
      <c r="H62" s="294"/>
      <c r="I62" s="294"/>
      <c r="J62" s="294"/>
      <c r="K62" s="294"/>
      <c r="L62" s="294"/>
      <c r="M62" s="294"/>
      <c r="N62" s="294"/>
      <c r="O62" s="294">
        <v>600000</v>
      </c>
      <c r="Q62" s="143"/>
    </row>
    <row r="63" spans="1:17" ht="15.75">
      <c r="A63" s="197" t="s">
        <v>460</v>
      </c>
      <c r="B63" s="294"/>
      <c r="C63" s="294"/>
      <c r="D63" s="294"/>
      <c r="E63" s="294"/>
      <c r="F63" s="294"/>
      <c r="G63" s="104"/>
      <c r="H63" s="294"/>
      <c r="I63" s="294"/>
      <c r="J63" s="294"/>
      <c r="K63" s="294"/>
      <c r="L63" s="294"/>
      <c r="M63" s="294"/>
      <c r="N63" s="294">
        <v>600000</v>
      </c>
      <c r="O63" s="294"/>
      <c r="Q63" s="143"/>
    </row>
    <row r="64" spans="1:17" ht="15.75">
      <c r="A64" s="197" t="s">
        <v>461</v>
      </c>
      <c r="B64" s="294"/>
      <c r="C64" s="294"/>
      <c r="D64" s="294"/>
      <c r="E64" s="294"/>
      <c r="F64" s="294"/>
      <c r="G64" s="104"/>
      <c r="H64" s="294"/>
      <c r="I64" s="294"/>
      <c r="J64" s="294"/>
      <c r="K64" s="294"/>
      <c r="L64" s="294"/>
      <c r="M64" s="294">
        <v>425000</v>
      </c>
      <c r="N64" s="294"/>
      <c r="O64" s="294"/>
      <c r="Q64" s="143"/>
    </row>
    <row r="65" spans="1:17" ht="15.75">
      <c r="A65" s="305" t="s">
        <v>462</v>
      </c>
      <c r="B65" s="294"/>
      <c r="C65" s="294"/>
      <c r="D65" s="294"/>
      <c r="E65" s="294"/>
      <c r="F65" s="294"/>
      <c r="G65" s="104"/>
      <c r="H65" s="294"/>
      <c r="I65" s="294"/>
      <c r="J65" s="294"/>
      <c r="K65" s="294"/>
      <c r="L65" s="294"/>
      <c r="M65" s="294"/>
      <c r="N65" s="294"/>
      <c r="O65" s="294"/>
      <c r="Q65" s="143"/>
    </row>
    <row r="66" spans="1:17" ht="15.75">
      <c r="A66" s="197" t="s">
        <v>463</v>
      </c>
      <c r="B66" s="294"/>
      <c r="C66" s="294"/>
      <c r="D66" s="294"/>
      <c r="E66" s="294"/>
      <c r="F66" s="294"/>
      <c r="G66" s="104"/>
      <c r="H66" s="294"/>
      <c r="I66" s="294"/>
      <c r="J66" s="294"/>
      <c r="K66" s="104">
        <v>1116</v>
      </c>
      <c r="L66" s="104">
        <v>46986</v>
      </c>
      <c r="M66" s="294"/>
      <c r="N66" s="294"/>
      <c r="O66" s="294"/>
      <c r="Q66" s="143"/>
    </row>
    <row r="67" spans="1:17" ht="15.75">
      <c r="A67" s="197" t="s">
        <v>464</v>
      </c>
      <c r="B67" s="294"/>
      <c r="C67" s="294"/>
      <c r="D67" s="294"/>
      <c r="E67" s="294"/>
      <c r="F67" s="294"/>
      <c r="G67" s="104"/>
      <c r="H67" s="294"/>
      <c r="I67" s="294"/>
      <c r="J67" s="294"/>
      <c r="K67" s="294"/>
      <c r="L67" s="294"/>
      <c r="M67" s="294">
        <v>999000</v>
      </c>
      <c r="N67" s="294"/>
      <c r="O67" s="294"/>
      <c r="Q67" s="143"/>
    </row>
    <row r="68" spans="1:17" ht="15.75">
      <c r="A68" s="197" t="s">
        <v>465</v>
      </c>
      <c r="B68" s="294"/>
      <c r="C68" s="294"/>
      <c r="D68" s="294"/>
      <c r="E68" s="294"/>
      <c r="F68" s="294"/>
      <c r="G68" s="104"/>
      <c r="H68" s="294"/>
      <c r="I68" s="294"/>
      <c r="J68" s="294"/>
      <c r="K68" s="294"/>
      <c r="L68" s="294"/>
      <c r="M68" s="294">
        <v>19000000</v>
      </c>
      <c r="N68" s="294">
        <v>3000000</v>
      </c>
      <c r="O68" s="294"/>
      <c r="Q68" s="143"/>
    </row>
    <row r="69" spans="1:17" ht="15.75">
      <c r="A69" s="306" t="s">
        <v>466</v>
      </c>
      <c r="B69" s="294"/>
      <c r="C69" s="294"/>
      <c r="D69" s="294"/>
      <c r="E69" s="294"/>
      <c r="F69" s="104"/>
      <c r="G69" s="104"/>
      <c r="H69" s="297"/>
      <c r="I69" s="297"/>
      <c r="J69" s="104"/>
      <c r="K69" s="104">
        <v>70130</v>
      </c>
      <c r="L69" s="104">
        <v>76098</v>
      </c>
      <c r="M69" s="104"/>
      <c r="N69" s="104"/>
      <c r="O69" s="104"/>
      <c r="Q69" s="143"/>
    </row>
    <row r="70" spans="1:17" ht="15.75">
      <c r="A70" s="197" t="s">
        <v>467</v>
      </c>
      <c r="B70" s="294"/>
      <c r="C70" s="294"/>
      <c r="D70" s="294"/>
      <c r="E70" s="294"/>
      <c r="F70" s="294"/>
      <c r="G70" s="104"/>
      <c r="H70" s="294"/>
      <c r="I70" s="294"/>
      <c r="J70" s="294"/>
      <c r="K70" s="294"/>
      <c r="L70" s="294"/>
      <c r="M70" s="294"/>
      <c r="N70" s="294"/>
      <c r="O70" s="294"/>
      <c r="Q70" s="143"/>
    </row>
    <row r="71" spans="1:17" ht="15.75">
      <c r="A71" s="197" t="s">
        <v>468</v>
      </c>
      <c r="B71" s="294"/>
      <c r="C71" s="294"/>
      <c r="D71" s="294"/>
      <c r="E71" s="294"/>
      <c r="F71" s="294"/>
      <c r="G71" s="104"/>
      <c r="H71" s="294"/>
      <c r="I71" s="294"/>
      <c r="J71" s="294"/>
      <c r="K71" s="294"/>
      <c r="L71" s="294"/>
      <c r="M71" s="294"/>
      <c r="N71" s="294"/>
      <c r="O71" s="294"/>
      <c r="Q71" s="143"/>
    </row>
    <row r="72" spans="1:17" ht="15.75">
      <c r="A72" s="197" t="s">
        <v>469</v>
      </c>
      <c r="B72" s="294"/>
      <c r="C72" s="294"/>
      <c r="D72" s="294"/>
      <c r="E72" s="294"/>
      <c r="F72" s="294"/>
      <c r="G72" s="104"/>
      <c r="H72" s="294"/>
      <c r="I72" s="294"/>
      <c r="J72" s="294"/>
      <c r="K72" s="294"/>
      <c r="L72" s="294"/>
      <c r="M72" s="294">
        <v>2830000</v>
      </c>
      <c r="N72" s="294"/>
      <c r="O72" s="294"/>
      <c r="Q72" s="143"/>
    </row>
    <row r="73" spans="1:17" ht="15.75">
      <c r="A73" s="305" t="s">
        <v>470</v>
      </c>
      <c r="B73" s="294"/>
      <c r="C73" s="294"/>
      <c r="D73" s="294"/>
      <c r="E73" s="294"/>
      <c r="F73" s="294"/>
      <c r="G73" s="104"/>
      <c r="H73" s="294"/>
      <c r="I73" s="294"/>
      <c r="J73" s="294"/>
      <c r="K73" s="294"/>
      <c r="L73" s="294"/>
      <c r="M73" s="294"/>
      <c r="N73" s="294"/>
      <c r="O73" s="294"/>
      <c r="Q73" s="143"/>
    </row>
    <row r="74" spans="1:17" ht="15.75">
      <c r="A74" s="197" t="s">
        <v>471</v>
      </c>
      <c r="B74" s="294"/>
      <c r="C74" s="294"/>
      <c r="D74" s="294"/>
      <c r="E74" s="294"/>
      <c r="F74" s="294"/>
      <c r="G74" s="104"/>
      <c r="H74" s="294"/>
      <c r="I74" s="294"/>
      <c r="J74" s="294"/>
      <c r="K74" s="294"/>
      <c r="L74" s="294"/>
      <c r="M74" s="294">
        <v>1000000</v>
      </c>
      <c r="N74" s="294"/>
      <c r="O74" s="294"/>
      <c r="Q74" s="143"/>
    </row>
    <row r="75" spans="1:17" ht="15.75">
      <c r="A75" s="197" t="s">
        <v>472</v>
      </c>
      <c r="B75" s="294"/>
      <c r="C75" s="294"/>
      <c r="D75" s="294"/>
      <c r="E75" s="294"/>
      <c r="F75" s="294"/>
      <c r="G75" s="104"/>
      <c r="H75" s="294"/>
      <c r="I75" s="294"/>
      <c r="J75" s="294"/>
      <c r="K75" s="294"/>
      <c r="L75" s="294"/>
      <c r="M75" s="294"/>
      <c r="N75" s="294"/>
      <c r="O75" s="294">
        <v>500000</v>
      </c>
      <c r="Q75" s="143"/>
    </row>
    <row r="76" spans="1:17" ht="15.75">
      <c r="A76" s="197" t="s">
        <v>473</v>
      </c>
      <c r="B76" s="294"/>
      <c r="C76" s="294"/>
      <c r="D76" s="294"/>
      <c r="E76" s="294"/>
      <c r="F76" s="294"/>
      <c r="G76" s="104"/>
      <c r="H76" s="294"/>
      <c r="I76" s="294"/>
      <c r="J76" s="294"/>
      <c r="K76" s="294"/>
      <c r="L76" s="294"/>
      <c r="M76" s="294">
        <v>40000</v>
      </c>
      <c r="O76" s="294"/>
      <c r="Q76" s="143"/>
    </row>
    <row r="77" spans="1:18" ht="15.75">
      <c r="A77" s="197" t="s">
        <v>474</v>
      </c>
      <c r="B77" s="294"/>
      <c r="C77" s="294"/>
      <c r="D77" s="294"/>
      <c r="E77" s="294"/>
      <c r="F77" s="294"/>
      <c r="G77" s="104"/>
      <c r="H77" s="294"/>
      <c r="I77" s="294"/>
      <c r="J77" s="294"/>
      <c r="K77" s="294"/>
      <c r="L77" s="294"/>
      <c r="M77" s="294">
        <v>50000</v>
      </c>
      <c r="N77" s="294"/>
      <c r="O77" s="294"/>
      <c r="P77" s="138"/>
      <c r="Q77" s="139"/>
      <c r="R77" s="138"/>
    </row>
    <row r="78" spans="1:18" ht="15.75">
      <c r="A78" s="197" t="s">
        <v>475</v>
      </c>
      <c r="B78" s="294"/>
      <c r="C78" s="294"/>
      <c r="D78" s="294"/>
      <c r="E78" s="294"/>
      <c r="F78" s="294"/>
      <c r="G78" s="104"/>
      <c r="H78" s="294"/>
      <c r="I78" s="294"/>
      <c r="J78" s="294"/>
      <c r="K78" s="104">
        <v>223102</v>
      </c>
      <c r="L78" s="104">
        <v>1512015</v>
      </c>
      <c r="M78" s="294"/>
      <c r="N78" s="294"/>
      <c r="O78" s="294"/>
      <c r="P78" s="138">
        <v>40000</v>
      </c>
      <c r="Q78" s="139"/>
      <c r="R78" s="138"/>
    </row>
    <row r="79" spans="1:18" ht="15.75">
      <c r="A79" s="305" t="s">
        <v>476</v>
      </c>
      <c r="B79" s="294"/>
      <c r="C79" s="294"/>
      <c r="D79" s="294">
        <v>0</v>
      </c>
      <c r="E79" s="294" t="e">
        <f>#REF!</f>
        <v>#REF!</v>
      </c>
      <c r="F79" s="294">
        <v>190867</v>
      </c>
      <c r="G79" s="104" t="e">
        <f>#REF!</f>
        <v>#REF!</v>
      </c>
      <c r="H79" s="294">
        <v>69691</v>
      </c>
      <c r="I79" s="294">
        <v>229415</v>
      </c>
      <c r="J79" s="294"/>
      <c r="K79" s="294"/>
      <c r="L79" s="294"/>
      <c r="M79" s="294"/>
      <c r="N79" s="294"/>
      <c r="O79" s="294"/>
      <c r="P79" s="138"/>
      <c r="Q79" s="139"/>
      <c r="R79" s="138"/>
    </row>
    <row r="80" spans="1:18" ht="15.75">
      <c r="A80" s="197" t="s">
        <v>477</v>
      </c>
      <c r="B80" s="294"/>
      <c r="C80" s="294"/>
      <c r="D80" s="294"/>
      <c r="E80" s="294"/>
      <c r="F80" s="294"/>
      <c r="G80" s="104"/>
      <c r="H80" s="294"/>
      <c r="I80" s="294"/>
      <c r="J80" s="294"/>
      <c r="K80" s="294"/>
      <c r="L80" s="294"/>
      <c r="M80" s="294">
        <v>100000</v>
      </c>
      <c r="N80" s="294"/>
      <c r="O80" s="294"/>
      <c r="P80" s="138"/>
      <c r="Q80" s="139"/>
      <c r="R80" s="138"/>
    </row>
    <row r="81" spans="1:18" ht="15.75">
      <c r="A81" s="197" t="s">
        <v>478</v>
      </c>
      <c r="B81" s="294"/>
      <c r="C81" s="294"/>
      <c r="D81" s="294"/>
      <c r="E81" s="294"/>
      <c r="F81" s="294"/>
      <c r="G81" s="104"/>
      <c r="H81" s="294"/>
      <c r="I81" s="294"/>
      <c r="J81" s="294"/>
      <c r="K81" s="294"/>
      <c r="L81" s="294"/>
      <c r="M81" s="294"/>
      <c r="N81" s="294">
        <v>150000</v>
      </c>
      <c r="O81" s="294"/>
      <c r="P81" s="138"/>
      <c r="Q81" s="139"/>
      <c r="R81" s="138"/>
    </row>
    <row r="82" spans="1:18" ht="15.75">
      <c r="A82" s="197" t="s">
        <v>479</v>
      </c>
      <c r="B82" s="294"/>
      <c r="C82" s="294"/>
      <c r="D82" s="294"/>
      <c r="E82" s="294"/>
      <c r="F82" s="294"/>
      <c r="G82" s="104"/>
      <c r="H82" s="294"/>
      <c r="I82" s="294"/>
      <c r="J82" s="294"/>
      <c r="K82" s="294"/>
      <c r="L82" s="294"/>
      <c r="M82" s="294"/>
      <c r="N82" s="294"/>
      <c r="O82" s="294">
        <v>250000</v>
      </c>
      <c r="P82" s="138"/>
      <c r="Q82" s="139"/>
      <c r="R82" s="138"/>
    </row>
    <row r="83" spans="1:18" ht="15.75">
      <c r="A83" s="197" t="s">
        <v>480</v>
      </c>
      <c r="B83" s="294"/>
      <c r="C83" s="294"/>
      <c r="D83" s="294"/>
      <c r="E83" s="294"/>
      <c r="F83" s="294"/>
      <c r="G83" s="104"/>
      <c r="H83" s="294"/>
      <c r="I83" s="294"/>
      <c r="J83" s="294"/>
      <c r="K83" s="294"/>
      <c r="L83" s="294"/>
      <c r="M83" s="294"/>
      <c r="N83" s="294"/>
      <c r="O83" s="294"/>
      <c r="P83" s="138">
        <v>150000</v>
      </c>
      <c r="Q83" s="139"/>
      <c r="R83" s="138"/>
    </row>
    <row r="84" spans="1:18" ht="15.75">
      <c r="A84" s="304" t="s">
        <v>481</v>
      </c>
      <c r="B84" s="294"/>
      <c r="C84" s="294"/>
      <c r="D84" s="294"/>
      <c r="E84" s="294"/>
      <c r="F84" s="294"/>
      <c r="G84" s="104"/>
      <c r="H84" s="294"/>
      <c r="I84" s="294"/>
      <c r="J84" s="294"/>
      <c r="K84" s="294"/>
      <c r="L84" s="294"/>
      <c r="M84" s="104">
        <v>350000</v>
      </c>
      <c r="N84" s="104">
        <v>400000</v>
      </c>
      <c r="O84" s="104">
        <v>400000</v>
      </c>
      <c r="P84" s="138">
        <v>400000</v>
      </c>
      <c r="Q84" s="139">
        <v>450000</v>
      </c>
      <c r="R84" s="138"/>
    </row>
    <row r="85" spans="1:17" ht="15.75">
      <c r="A85" s="304"/>
      <c r="B85" s="294"/>
      <c r="C85" s="294"/>
      <c r="D85" s="294"/>
      <c r="E85" s="294"/>
      <c r="F85" s="294"/>
      <c r="G85" s="104"/>
      <c r="H85" s="294"/>
      <c r="I85" s="294"/>
      <c r="J85" s="294"/>
      <c r="K85" s="294"/>
      <c r="L85" s="294"/>
      <c r="M85" s="294"/>
      <c r="N85" s="294"/>
      <c r="O85" s="104"/>
      <c r="P85" s="104"/>
      <c r="Q85" s="109"/>
    </row>
    <row r="86" spans="1:17" ht="15.75">
      <c r="A86" s="193" t="s">
        <v>177</v>
      </c>
      <c r="B86" s="294"/>
      <c r="C86" s="294"/>
      <c r="D86" s="294"/>
      <c r="E86" s="294"/>
      <c r="F86" s="294"/>
      <c r="G86" s="104"/>
      <c r="H86" s="294"/>
      <c r="I86" s="294"/>
      <c r="J86" s="294"/>
      <c r="K86" s="294"/>
      <c r="L86" s="294"/>
      <c r="M86" s="294">
        <v>548200</v>
      </c>
      <c r="N86" s="294">
        <v>1225200</v>
      </c>
      <c r="O86" s="104">
        <v>2782400</v>
      </c>
      <c r="P86" s="104">
        <v>2873300</v>
      </c>
      <c r="Q86" s="109">
        <v>2788400</v>
      </c>
    </row>
    <row r="87" spans="1:17" ht="15.75">
      <c r="A87" s="193"/>
      <c r="B87" s="104"/>
      <c r="C87" s="104"/>
      <c r="D87" s="104"/>
      <c r="E87" s="104"/>
      <c r="F87" s="104"/>
      <c r="G87" s="104">
        <v>0</v>
      </c>
      <c r="H87" s="294">
        <f>93600+87300</f>
        <v>180900</v>
      </c>
      <c r="I87" s="294">
        <v>159264</v>
      </c>
      <c r="J87" s="294"/>
      <c r="K87" s="294">
        <f>191695+400000</f>
        <v>591695</v>
      </c>
      <c r="L87" s="294">
        <f>156216+415000</f>
        <v>571216</v>
      </c>
      <c r="Q87" s="143"/>
    </row>
    <row r="88" spans="1:17" ht="20.25">
      <c r="A88" s="193" t="s">
        <v>489</v>
      </c>
      <c r="B88" s="180"/>
      <c r="C88" s="180">
        <f>SUM(C16:C35)</f>
        <v>50500</v>
      </c>
      <c r="D88" s="180">
        <f>SUM(D16:D35)</f>
        <v>30527</v>
      </c>
      <c r="E88" s="180" t="e">
        <f aca="true" t="shared" si="0" ref="E88:L88">SUM(E16:E87)</f>
        <v>#REF!</v>
      </c>
      <c r="F88" s="180">
        <f t="shared" si="0"/>
        <v>312141</v>
      </c>
      <c r="G88" s="180" t="e">
        <f t="shared" si="0"/>
        <v>#REF!</v>
      </c>
      <c r="H88" s="180">
        <f t="shared" si="0"/>
        <v>795190</v>
      </c>
      <c r="I88" s="180">
        <f t="shared" si="0"/>
        <v>880648</v>
      </c>
      <c r="J88" s="180">
        <f t="shared" si="0"/>
        <v>734895</v>
      </c>
      <c r="K88" s="180">
        <f t="shared" si="0"/>
        <v>2714821</v>
      </c>
      <c r="L88" s="180">
        <f t="shared" si="0"/>
        <v>3803977</v>
      </c>
      <c r="M88" s="181">
        <f>SUM(M15:M86)</f>
        <v>32062845</v>
      </c>
      <c r="N88" s="181">
        <f aca="true" t="shared" si="1" ref="N88:Q88">SUM(N15:N86)</f>
        <v>11601630</v>
      </c>
      <c r="O88" s="181">
        <f t="shared" si="1"/>
        <v>10589670</v>
      </c>
      <c r="P88" s="181">
        <f t="shared" si="1"/>
        <v>9110090</v>
      </c>
      <c r="Q88" s="194">
        <f t="shared" si="1"/>
        <v>8958470</v>
      </c>
    </row>
    <row r="89" spans="1:17" ht="15.75">
      <c r="A89" s="73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209"/>
    </row>
    <row r="90" spans="1:17" ht="15.75">
      <c r="A90" s="193" t="s">
        <v>482</v>
      </c>
      <c r="B90" s="180"/>
      <c r="C90" s="180" t="e">
        <f aca="true" t="shared" si="2" ref="C90:H90">C13-C88</f>
        <v>#REF!</v>
      </c>
      <c r="D90" s="180" t="e">
        <f t="shared" si="2"/>
        <v>#REF!</v>
      </c>
      <c r="E90" s="180" t="e">
        <f t="shared" si="2"/>
        <v>#REF!</v>
      </c>
      <c r="F90" s="180" t="e">
        <f t="shared" si="2"/>
        <v>#REF!</v>
      </c>
      <c r="G90" s="180" t="e">
        <f t="shared" si="2"/>
        <v>#REF!</v>
      </c>
      <c r="H90" s="180" t="e">
        <f t="shared" si="2"/>
        <v>#REF!</v>
      </c>
      <c r="I90" s="180"/>
      <c r="J90" s="180"/>
      <c r="K90" s="180"/>
      <c r="L90" s="180"/>
      <c r="M90" s="180">
        <f>M13-M88</f>
        <v>3173055</v>
      </c>
      <c r="N90" s="180">
        <f aca="true" t="shared" si="3" ref="N90:Q90">N13-N88</f>
        <v>-6139230</v>
      </c>
      <c r="O90" s="180">
        <f t="shared" si="3"/>
        <v>-4894670</v>
      </c>
      <c r="P90" s="180">
        <f t="shared" si="3"/>
        <v>-3148290</v>
      </c>
      <c r="Q90" s="209">
        <f t="shared" si="3"/>
        <v>-2745970</v>
      </c>
    </row>
    <row r="91" spans="1:17" ht="15.75">
      <c r="A91" s="193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95"/>
    </row>
    <row r="92" spans="1:17" ht="20.25">
      <c r="A92" s="187" t="s">
        <v>483</v>
      </c>
      <c r="B92" s="308"/>
      <c r="C92" s="308" t="e">
        <f aca="true" t="shared" si="4" ref="C92:H92">C7+C90</f>
        <v>#REF!</v>
      </c>
      <c r="D92" s="308" t="e">
        <f t="shared" si="4"/>
        <v>#REF!</v>
      </c>
      <c r="E92" s="308" t="e">
        <f t="shared" si="4"/>
        <v>#REF!</v>
      </c>
      <c r="F92" s="308" t="e">
        <f t="shared" si="4"/>
        <v>#REF!</v>
      </c>
      <c r="G92" s="308" t="e">
        <f t="shared" si="4"/>
        <v>#REF!</v>
      </c>
      <c r="H92" s="308" t="e">
        <f t="shared" si="4"/>
        <v>#REF!</v>
      </c>
      <c r="I92" s="308"/>
      <c r="J92" s="308"/>
      <c r="K92" s="308"/>
      <c r="L92" s="308"/>
      <c r="M92" s="309">
        <f>M7+M90</f>
        <v>8088009</v>
      </c>
      <c r="N92" s="309">
        <f>N7+N90</f>
        <v>3233779</v>
      </c>
      <c r="O92" s="309">
        <f>O7+O90</f>
        <v>-86891</v>
      </c>
      <c r="P92" s="309">
        <f>P7+P90</f>
        <v>-1245181</v>
      </c>
      <c r="Q92" s="310">
        <f>Q7+Q90</f>
        <v>-1898151</v>
      </c>
    </row>
    <row r="93" spans="1:17" ht="15.75">
      <c r="A93" s="193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95"/>
    </row>
    <row r="94" spans="1:17" ht="15.75">
      <c r="A94" s="193" t="s">
        <v>484</v>
      </c>
      <c r="B94" s="174"/>
      <c r="C94" s="174">
        <v>2500000</v>
      </c>
      <c r="D94" s="174">
        <v>2500000</v>
      </c>
      <c r="E94" s="174">
        <v>2500000</v>
      </c>
      <c r="F94" s="174">
        <v>2500000</v>
      </c>
      <c r="G94" s="174">
        <v>2500000</v>
      </c>
      <c r="H94" s="174">
        <v>2500000</v>
      </c>
      <c r="I94" s="174"/>
      <c r="J94" s="174"/>
      <c r="K94" s="174"/>
      <c r="L94" s="174"/>
      <c r="M94" s="174">
        <v>2500000</v>
      </c>
      <c r="N94" s="174">
        <v>2500000</v>
      </c>
      <c r="O94" s="174">
        <v>2500000</v>
      </c>
      <c r="P94" s="174">
        <v>2500000</v>
      </c>
      <c r="Q94" s="190">
        <v>2500000</v>
      </c>
    </row>
    <row r="95" spans="1:17" ht="15.75">
      <c r="A95" s="193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9"/>
    </row>
    <row r="96" spans="1:17" ht="20.25">
      <c r="A96" s="239" t="s">
        <v>485</v>
      </c>
      <c r="B96" s="307"/>
      <c r="C96" s="307" t="e">
        <f aca="true" t="shared" si="5" ref="C96:H96">+C92-C94</f>
        <v>#REF!</v>
      </c>
      <c r="D96" s="307" t="e">
        <f t="shared" si="5"/>
        <v>#REF!</v>
      </c>
      <c r="E96" s="307" t="e">
        <f t="shared" si="5"/>
        <v>#REF!</v>
      </c>
      <c r="F96" s="307" t="e">
        <f t="shared" si="5"/>
        <v>#REF!</v>
      </c>
      <c r="G96" s="307" t="e">
        <f t="shared" si="5"/>
        <v>#REF!</v>
      </c>
      <c r="H96" s="307" t="e">
        <f t="shared" si="5"/>
        <v>#REF!</v>
      </c>
      <c r="I96" s="307"/>
      <c r="J96" s="307"/>
      <c r="K96" s="307"/>
      <c r="L96" s="307"/>
      <c r="M96" s="311">
        <f>+M92-M94</f>
        <v>5588009</v>
      </c>
      <c r="N96" s="311">
        <f>+N92-N94</f>
        <v>733779</v>
      </c>
      <c r="O96" s="311">
        <f>+O92-O94</f>
        <v>-2586891</v>
      </c>
      <c r="P96" s="311">
        <f>+P92-P94</f>
        <v>-3745181</v>
      </c>
      <c r="Q96" s="312">
        <f>+Q92-Q94</f>
        <v>-4398151</v>
      </c>
    </row>
    <row r="97" spans="1:17" ht="15.7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</row>
    <row r="98" ht="15.75">
      <c r="A98" s="86"/>
    </row>
    <row r="100" spans="2:17" ht="15.75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04"/>
      <c r="Q100" s="104"/>
    </row>
    <row r="101" spans="2:17" ht="15.75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04"/>
      <c r="Q101" s="104"/>
    </row>
    <row r="102" spans="2:17" ht="15.75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04"/>
      <c r="Q102" s="104"/>
    </row>
    <row r="103" spans="2:17" ht="15.75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04"/>
      <c r="Q103" s="104"/>
    </row>
    <row r="104" spans="2:17" ht="15.75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04"/>
      <c r="Q104" s="104"/>
    </row>
    <row r="105" spans="2:17" ht="15.75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04"/>
      <c r="Q105" s="104"/>
    </row>
    <row r="106" spans="2:17" ht="15.75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04"/>
      <c r="Q106" s="104"/>
    </row>
    <row r="107" spans="2:17" ht="15.75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ht="15.75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ht="15.75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ht="15.75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ht="15.75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ht="15.75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ht="15.75"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7"/>
  <sheetViews>
    <sheetView workbookViewId="0" topLeftCell="A1">
      <selection activeCell="A6" sqref="A6:Q90"/>
    </sheetView>
  </sheetViews>
  <sheetFormatPr defaultColWidth="9.00390625" defaultRowHeight="15.75"/>
  <cols>
    <col min="1" max="1" width="45.625" style="142" bestFit="1" customWidth="1"/>
    <col min="2" max="2" width="7.00390625" style="142" hidden="1" customWidth="1"/>
    <col min="3" max="9" width="12.375" style="142" hidden="1" customWidth="1"/>
    <col min="10" max="10" width="10.625" style="142" hidden="1" customWidth="1"/>
    <col min="11" max="12" width="12.375" style="142" hidden="1" customWidth="1"/>
    <col min="13" max="16" width="13.625" style="142" bestFit="1" customWidth="1"/>
    <col min="17" max="17" width="13.375" style="142" bestFit="1" customWidth="1"/>
    <col min="18" max="16384" width="9.00390625" style="142" customWidth="1"/>
  </cols>
  <sheetData>
    <row r="1" spans="1:5" ht="15.75">
      <c r="A1" s="289" t="s">
        <v>410</v>
      </c>
      <c r="B1" s="172"/>
      <c r="C1" s="172"/>
      <c r="D1" s="172"/>
      <c r="E1" s="172"/>
    </row>
    <row r="2" spans="1:5" ht="15.75">
      <c r="A2" s="290" t="s">
        <v>411</v>
      </c>
      <c r="B2" s="172"/>
      <c r="C2" s="172"/>
      <c r="D2" s="172"/>
      <c r="E2" s="172"/>
    </row>
    <row r="3" spans="1:5" ht="15.75">
      <c r="A3" s="289" t="s">
        <v>412</v>
      </c>
      <c r="B3" s="172"/>
      <c r="C3" s="172"/>
      <c r="D3" s="172"/>
      <c r="E3" s="172"/>
    </row>
    <row r="4" spans="1:5" ht="15.75">
      <c r="A4" s="291" t="s">
        <v>413</v>
      </c>
      <c r="B4" s="172"/>
      <c r="C4" s="172"/>
      <c r="D4" s="172"/>
      <c r="E4" s="172"/>
    </row>
    <row r="5" spans="2:5" ht="15.75">
      <c r="B5" s="172"/>
      <c r="C5" s="172"/>
      <c r="D5" s="172"/>
      <c r="E5" s="172"/>
    </row>
    <row r="6" spans="1:17" ht="15.75">
      <c r="A6" s="234" t="s">
        <v>0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35">
        <v>2019</v>
      </c>
      <c r="N6" s="235">
        <v>2020</v>
      </c>
      <c r="O6" s="235">
        <v>2021</v>
      </c>
      <c r="P6" s="235">
        <v>2022</v>
      </c>
      <c r="Q6" s="236">
        <v>2023</v>
      </c>
    </row>
    <row r="7" spans="1:17" ht="15.75">
      <c r="A7" s="187" t="s">
        <v>391</v>
      </c>
      <c r="B7" s="292"/>
      <c r="C7" s="293">
        <v>607945</v>
      </c>
      <c r="D7" s="293" t="e">
        <f>C88</f>
        <v>#REF!</v>
      </c>
      <c r="E7" s="293" t="e">
        <f>D88</f>
        <v>#REF!</v>
      </c>
      <c r="F7" s="293" t="e">
        <f>E88</f>
        <v>#REF!</v>
      </c>
      <c r="G7" s="293" t="e">
        <f>F88</f>
        <v>#REF!</v>
      </c>
      <c r="H7" s="293" t="e">
        <f>#REF!</f>
        <v>#REF!</v>
      </c>
      <c r="I7" s="293">
        <v>3001791</v>
      </c>
      <c r="J7" s="293"/>
      <c r="K7" s="293"/>
      <c r="L7" s="293"/>
      <c r="M7" s="298">
        <v>4914954</v>
      </c>
      <c r="N7" s="298">
        <v>9373009</v>
      </c>
      <c r="O7" s="298">
        <v>4807779</v>
      </c>
      <c r="P7" s="298">
        <v>1903109</v>
      </c>
      <c r="Q7" s="300">
        <v>847819</v>
      </c>
    </row>
    <row r="8" spans="1:17" ht="15.75">
      <c r="A8" s="72" t="s">
        <v>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301"/>
    </row>
    <row r="9" spans="1:17" ht="15.75">
      <c r="A9" s="191" t="s">
        <v>486</v>
      </c>
      <c r="B9" s="292"/>
      <c r="C9" s="174" t="e">
        <f>#REF!</f>
        <v>#REF!</v>
      </c>
      <c r="D9" s="174" t="e">
        <f>#REF!</f>
        <v>#REF!</v>
      </c>
      <c r="E9" s="174" t="e">
        <f>#REF!</f>
        <v>#REF!</v>
      </c>
      <c r="F9" s="174" t="e">
        <f>#REF!</f>
        <v>#REF!</v>
      </c>
      <c r="G9" s="174" t="e">
        <f>#REF!</f>
        <v>#REF!</v>
      </c>
      <c r="H9" s="174">
        <f>'[4]Fund Summary'!P50</f>
        <v>2743508</v>
      </c>
      <c r="I9" s="174"/>
      <c r="J9" s="174"/>
      <c r="K9" s="174"/>
      <c r="L9" s="174"/>
      <c r="M9" s="211">
        <v>4650900</v>
      </c>
      <c r="N9" s="211">
        <v>4935900</v>
      </c>
      <c r="O9" s="211">
        <v>5221100</v>
      </c>
      <c r="P9" s="211">
        <v>5511600</v>
      </c>
      <c r="Q9" s="217">
        <v>5807300</v>
      </c>
    </row>
    <row r="10" spans="1:17" ht="15.75">
      <c r="A10" s="191" t="s">
        <v>414</v>
      </c>
      <c r="B10" s="292"/>
      <c r="C10" s="294">
        <v>1510598</v>
      </c>
      <c r="D10" s="104">
        <v>1083944</v>
      </c>
      <c r="E10" s="104">
        <v>974747</v>
      </c>
      <c r="F10" s="104" t="e">
        <f>#REF!</f>
        <v>#REF!</v>
      </c>
      <c r="G10" s="104" t="e">
        <f>#REF!</f>
        <v>#REF!</v>
      </c>
      <c r="H10" s="104">
        <f>'[4]Fund Summary'!P12</f>
        <v>652983</v>
      </c>
      <c r="I10" s="104"/>
      <c r="J10" s="104"/>
      <c r="K10" s="104"/>
      <c r="L10" s="104"/>
      <c r="M10" s="104">
        <v>585000</v>
      </c>
      <c r="N10" s="104">
        <v>526500</v>
      </c>
      <c r="O10" s="104">
        <v>473900</v>
      </c>
      <c r="P10" s="104">
        <v>450200</v>
      </c>
      <c r="Q10" s="109">
        <v>405200</v>
      </c>
    </row>
    <row r="11" spans="1:17" ht="15.75">
      <c r="A11" s="191" t="s">
        <v>415</v>
      </c>
      <c r="B11" s="292"/>
      <c r="C11" s="294">
        <v>0</v>
      </c>
      <c r="D11" s="104">
        <v>0</v>
      </c>
      <c r="E11" s="104">
        <v>0</v>
      </c>
      <c r="F11" s="104" t="e">
        <f>#REF!</f>
        <v>#REF!</v>
      </c>
      <c r="G11" s="104" t="e">
        <f>#REF!</f>
        <v>#REF!</v>
      </c>
      <c r="H11" s="104" t="e">
        <f>#REF!</f>
        <v>#REF!</v>
      </c>
      <c r="I11" s="104"/>
      <c r="J11" s="104"/>
      <c r="K11" s="104"/>
      <c r="L11" s="104"/>
      <c r="M11" s="104">
        <v>30000000</v>
      </c>
      <c r="N11" s="104"/>
      <c r="O11" s="104"/>
      <c r="P11" s="104"/>
      <c r="Q11" s="109"/>
    </row>
    <row r="12" spans="1:17" ht="15.75" hidden="1">
      <c r="A12" s="73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5"/>
      <c r="N12" s="295"/>
      <c r="O12" s="295"/>
      <c r="P12" s="295"/>
      <c r="Q12" s="302"/>
    </row>
    <row r="13" spans="1:17" ht="20.25">
      <c r="A13" s="193" t="s">
        <v>4</v>
      </c>
      <c r="B13" s="180">
        <f>SUM(B9:B11)</f>
        <v>0</v>
      </c>
      <c r="C13" s="180" t="e">
        <f>SUM(C9:C11)</f>
        <v>#REF!</v>
      </c>
      <c r="D13" s="180" t="e">
        <f>SUM(D9:D11)</f>
        <v>#REF!</v>
      </c>
      <c r="E13" s="180" t="e">
        <f>SUM(E9:E11)</f>
        <v>#REF!</v>
      </c>
      <c r="F13" s="180" t="e">
        <f>SUM(F9:F11)</f>
        <v>#REF!</v>
      </c>
      <c r="G13" s="180" t="e">
        <f>SUM(G9:G12)</f>
        <v>#REF!</v>
      </c>
      <c r="H13" s="180" t="e">
        <f>SUM(H9:H11)</f>
        <v>#REF!</v>
      </c>
      <c r="I13" s="180"/>
      <c r="J13" s="180"/>
      <c r="K13" s="180"/>
      <c r="L13" s="180"/>
      <c r="M13" s="181">
        <f>SUM(M9:M11)</f>
        <v>35235900</v>
      </c>
      <c r="N13" s="181">
        <f>SUM(N9:N11)</f>
        <v>5462400</v>
      </c>
      <c r="O13" s="181">
        <f>SUM(O9:O11)</f>
        <v>5695000</v>
      </c>
      <c r="P13" s="181">
        <f>SUM(P9:P11)</f>
        <v>5961800</v>
      </c>
      <c r="Q13" s="194">
        <f>SUM(Q9:Q12)</f>
        <v>6212500</v>
      </c>
    </row>
    <row r="14" spans="1:17" ht="15.75">
      <c r="A14" s="72" t="s">
        <v>487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9"/>
    </row>
    <row r="15" spans="1:17" ht="15.75">
      <c r="A15" s="73" t="s">
        <v>490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>
        <v>4314945</v>
      </c>
      <c r="N15" s="104">
        <v>4476430</v>
      </c>
      <c r="O15" s="104">
        <v>5457270</v>
      </c>
      <c r="P15" s="104">
        <v>5586790</v>
      </c>
      <c r="Q15" s="109">
        <v>5720070</v>
      </c>
    </row>
    <row r="16" spans="1:17" ht="15.75">
      <c r="A16" s="358" t="s">
        <v>416</v>
      </c>
      <c r="B16" s="174"/>
      <c r="C16" s="174">
        <v>50500</v>
      </c>
      <c r="D16" s="174">
        <v>30527</v>
      </c>
      <c r="E16" s="174" t="e">
        <f>#REF!</f>
        <v>#REF!</v>
      </c>
      <c r="F16" s="174">
        <v>53554</v>
      </c>
      <c r="G16" s="174" t="e">
        <f>#REF!</f>
        <v>#REF!</v>
      </c>
      <c r="H16" s="174">
        <v>120028</v>
      </c>
      <c r="I16" s="174">
        <f>25199+40982</f>
        <v>66181</v>
      </c>
      <c r="J16" s="174">
        <v>71628</v>
      </c>
      <c r="K16" s="174">
        <f>13557+15652</f>
        <v>29209</v>
      </c>
      <c r="L16" s="174">
        <v>210214</v>
      </c>
      <c r="M16" s="211">
        <v>148800</v>
      </c>
      <c r="N16" s="211">
        <v>250000</v>
      </c>
      <c r="O16" s="211">
        <v>0</v>
      </c>
      <c r="P16" s="211">
        <v>60000</v>
      </c>
      <c r="Q16" s="217">
        <v>0</v>
      </c>
    </row>
    <row r="17" spans="1:17" ht="15.75" hidden="1">
      <c r="A17" s="137" t="s">
        <v>417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296"/>
      <c r="N17" s="174"/>
      <c r="O17" s="174"/>
      <c r="Q17" s="143"/>
    </row>
    <row r="18" spans="1:17" ht="15.75" hidden="1">
      <c r="A18" s="137" t="s">
        <v>418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296"/>
      <c r="N18" s="174"/>
      <c r="O18" s="174"/>
      <c r="Q18" s="143"/>
    </row>
    <row r="19" spans="1:17" ht="15.75" hidden="1">
      <c r="A19" s="137" t="s">
        <v>419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296"/>
      <c r="N19" s="174"/>
      <c r="O19" s="174"/>
      <c r="Q19" s="143"/>
    </row>
    <row r="20" spans="1:17" ht="15.75" hidden="1">
      <c r="A20" s="137" t="s">
        <v>420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296"/>
      <c r="N20" s="174"/>
      <c r="O20" s="174"/>
      <c r="Q20" s="143"/>
    </row>
    <row r="21" spans="1:17" ht="15.75" hidden="1">
      <c r="A21" s="137" t="s">
        <v>421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04"/>
      <c r="O21" s="174"/>
      <c r="Q21" s="143"/>
    </row>
    <row r="22" spans="1:17" ht="15.75" hidden="1">
      <c r="A22" s="137" t="s">
        <v>422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04"/>
      <c r="O22" s="174"/>
      <c r="Q22" s="143"/>
    </row>
    <row r="23" spans="1:17" ht="15.75" hidden="1">
      <c r="A23" s="137" t="s">
        <v>422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04"/>
      <c r="O23" s="174"/>
      <c r="Q23" s="143"/>
    </row>
    <row r="24" spans="1:17" ht="15.75" hidden="1">
      <c r="A24" s="137" t="s">
        <v>423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04"/>
      <c r="O24" s="174"/>
      <c r="Q24" s="143"/>
    </row>
    <row r="25" spans="1:17" ht="15.75" hidden="1">
      <c r="A25" s="137" t="s">
        <v>424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38"/>
      <c r="Q25" s="143"/>
    </row>
    <row r="26" spans="1:17" ht="15.75" hidden="1">
      <c r="A26" s="137" t="s">
        <v>425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Q26" s="143"/>
    </row>
    <row r="27" spans="1:17" ht="15.75" hidden="1">
      <c r="A27" s="137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Q27" s="143"/>
    </row>
    <row r="28" spans="1:17" ht="15.75">
      <c r="A28" s="358" t="s">
        <v>426</v>
      </c>
      <c r="B28" s="104"/>
      <c r="C28" s="104"/>
      <c r="D28" s="104"/>
      <c r="E28" s="104"/>
      <c r="F28" s="104"/>
      <c r="G28" s="104"/>
      <c r="H28" s="104"/>
      <c r="I28" s="104"/>
      <c r="J28" s="104">
        <v>663267</v>
      </c>
      <c r="K28" s="104"/>
      <c r="L28" s="104"/>
      <c r="M28" s="104"/>
      <c r="N28" s="104"/>
      <c r="O28" s="104"/>
      <c r="Q28" s="143"/>
    </row>
    <row r="29" spans="1:17" ht="15.75" hidden="1">
      <c r="A29" s="304" t="s">
        <v>427</v>
      </c>
      <c r="B29" s="294"/>
      <c r="C29" s="294"/>
      <c r="D29" s="294"/>
      <c r="E29" s="294"/>
      <c r="F29" s="104"/>
      <c r="G29" s="104"/>
      <c r="H29" s="104"/>
      <c r="I29" s="104"/>
      <c r="J29" s="104"/>
      <c r="K29" s="104">
        <v>728</v>
      </c>
      <c r="L29" s="104">
        <v>19391</v>
      </c>
      <c r="M29" s="104"/>
      <c r="N29" s="104"/>
      <c r="O29" s="104"/>
      <c r="Q29" s="143"/>
    </row>
    <row r="30" spans="1:17" ht="15.75" hidden="1">
      <c r="A30" s="304" t="s">
        <v>428</v>
      </c>
      <c r="B30" s="294"/>
      <c r="C30" s="294"/>
      <c r="D30" s="294"/>
      <c r="E30" s="294"/>
      <c r="F30" s="104"/>
      <c r="G30" s="104">
        <v>0</v>
      </c>
      <c r="H30" s="104">
        <v>0</v>
      </c>
      <c r="I30" s="104"/>
      <c r="J30" s="104"/>
      <c r="K30" s="104">
        <v>202782</v>
      </c>
      <c r="L30" s="104"/>
      <c r="M30" s="104"/>
      <c r="N30" s="104"/>
      <c r="O30" s="104"/>
      <c r="Q30" s="143"/>
    </row>
    <row r="31" spans="1:17" ht="15.75" hidden="1">
      <c r="A31" s="304" t="s">
        <v>429</v>
      </c>
      <c r="B31" s="294"/>
      <c r="C31" s="294"/>
      <c r="D31" s="294"/>
      <c r="E31" s="294"/>
      <c r="F31" s="104"/>
      <c r="G31" s="104">
        <v>0</v>
      </c>
      <c r="H31" s="104">
        <v>0</v>
      </c>
      <c r="I31" s="104"/>
      <c r="J31" s="104"/>
      <c r="K31" s="104"/>
      <c r="L31" s="104"/>
      <c r="M31" s="104"/>
      <c r="N31" s="104"/>
      <c r="O31" s="104"/>
      <c r="Q31" s="143"/>
    </row>
    <row r="32" spans="1:17" ht="15.75" hidden="1">
      <c r="A32" s="304" t="s">
        <v>430</v>
      </c>
      <c r="B32" s="294"/>
      <c r="C32" s="294"/>
      <c r="D32" s="294"/>
      <c r="E32" s="294"/>
      <c r="F32" s="104"/>
      <c r="G32" s="104">
        <v>0</v>
      </c>
      <c r="H32" s="104">
        <v>0</v>
      </c>
      <c r="I32" s="104"/>
      <c r="J32" s="104"/>
      <c r="K32" s="104"/>
      <c r="L32" s="104"/>
      <c r="M32" s="104"/>
      <c r="N32" s="104"/>
      <c r="O32" s="104"/>
      <c r="Q32" s="143"/>
    </row>
    <row r="33" spans="1:17" ht="15.75" hidden="1">
      <c r="A33" s="304" t="s">
        <v>431</v>
      </c>
      <c r="B33" s="294"/>
      <c r="C33" s="294"/>
      <c r="D33" s="294"/>
      <c r="E33" s="294"/>
      <c r="F33" s="104"/>
      <c r="G33" s="104"/>
      <c r="H33" s="297">
        <f>297051+53328</f>
        <v>350379</v>
      </c>
      <c r="I33" s="297"/>
      <c r="J33" s="104"/>
      <c r="K33" s="104"/>
      <c r="L33" s="104"/>
      <c r="M33" s="104"/>
      <c r="N33" s="104"/>
      <c r="O33" s="104"/>
      <c r="Q33" s="143"/>
    </row>
    <row r="34" spans="1:17" ht="15.75">
      <c r="A34" s="304" t="s">
        <v>432</v>
      </c>
      <c r="B34" s="294"/>
      <c r="C34" s="294"/>
      <c r="D34" s="294"/>
      <c r="E34" s="294"/>
      <c r="F34" s="104"/>
      <c r="G34" s="104"/>
      <c r="H34" s="297"/>
      <c r="I34" s="297"/>
      <c r="J34" s="104"/>
      <c r="K34" s="104"/>
      <c r="L34" s="104"/>
      <c r="M34" s="104">
        <v>141500</v>
      </c>
      <c r="N34" s="104"/>
      <c r="O34" s="104"/>
      <c r="Q34" s="143"/>
    </row>
    <row r="35" spans="1:17" ht="15.75" hidden="1">
      <c r="A35" s="304" t="s">
        <v>433</v>
      </c>
      <c r="B35" s="294"/>
      <c r="C35" s="294">
        <v>0</v>
      </c>
      <c r="D35" s="294">
        <v>0</v>
      </c>
      <c r="E35" s="294">
        <v>0</v>
      </c>
      <c r="F35" s="104">
        <v>0</v>
      </c>
      <c r="G35" s="104">
        <v>0</v>
      </c>
      <c r="H35" s="104"/>
      <c r="I35" s="104">
        <f>253066+85017+767+618</f>
        <v>339468</v>
      </c>
      <c r="J35" s="104"/>
      <c r="K35" s="104">
        <f>550109+236142</f>
        <v>786251</v>
      </c>
      <c r="L35" s="104">
        <f>328809+1039248</f>
        <v>1368057</v>
      </c>
      <c r="M35" s="104"/>
      <c r="N35" s="104"/>
      <c r="O35" s="104"/>
      <c r="Q35" s="143"/>
    </row>
    <row r="36" spans="1:17" ht="15.75" hidden="1">
      <c r="A36" s="304" t="s">
        <v>434</v>
      </c>
      <c r="B36" s="294"/>
      <c r="C36" s="294"/>
      <c r="D36" s="294"/>
      <c r="E36" s="294"/>
      <c r="F36" s="104"/>
      <c r="G36" s="104"/>
      <c r="H36" s="104"/>
      <c r="I36" s="104"/>
      <c r="J36" s="104"/>
      <c r="K36" s="104">
        <v>31724</v>
      </c>
      <c r="L36" s="104"/>
      <c r="M36" s="104"/>
      <c r="N36" s="104"/>
      <c r="O36" s="104"/>
      <c r="Q36" s="143"/>
    </row>
    <row r="37" spans="1:17" ht="15.75" hidden="1">
      <c r="A37" s="304" t="s">
        <v>435</v>
      </c>
      <c r="B37" s="294"/>
      <c r="C37" s="294"/>
      <c r="D37" s="294"/>
      <c r="E37" s="294"/>
      <c r="F37" s="104"/>
      <c r="G37" s="104"/>
      <c r="H37" s="104"/>
      <c r="I37" s="104"/>
      <c r="J37" s="104"/>
      <c r="K37" s="104">
        <v>305422</v>
      </c>
      <c r="L37" s="104"/>
      <c r="M37" s="104"/>
      <c r="N37" s="104"/>
      <c r="O37" s="104"/>
      <c r="Q37" s="143"/>
    </row>
    <row r="38" spans="1:17" ht="15.75" hidden="1">
      <c r="A38" s="304" t="s">
        <v>436</v>
      </c>
      <c r="B38" s="294"/>
      <c r="C38" s="294"/>
      <c r="D38" s="294"/>
      <c r="E38" s="294"/>
      <c r="F38" s="104"/>
      <c r="G38" s="104"/>
      <c r="H38" s="104"/>
      <c r="I38" s="104"/>
      <c r="J38" s="104"/>
      <c r="K38" s="104">
        <v>472662</v>
      </c>
      <c r="L38" s="104"/>
      <c r="M38" s="104"/>
      <c r="N38" s="104"/>
      <c r="O38" s="104"/>
      <c r="Q38" s="143"/>
    </row>
    <row r="39" spans="1:17" ht="15.75">
      <c r="A39" s="304" t="s">
        <v>535</v>
      </c>
      <c r="B39" s="294"/>
      <c r="C39" s="294"/>
      <c r="D39" s="294"/>
      <c r="E39" s="294"/>
      <c r="F39" s="104"/>
      <c r="G39" s="104"/>
      <c r="H39" s="297"/>
      <c r="I39" s="297"/>
      <c r="J39" s="104"/>
      <c r="K39" s="104"/>
      <c r="L39" s="104"/>
      <c r="M39" s="104">
        <v>50000</v>
      </c>
      <c r="N39" s="104"/>
      <c r="O39" s="104"/>
      <c r="Q39" s="143"/>
    </row>
    <row r="40" spans="1:17" ht="15.75">
      <c r="A40" s="197" t="s">
        <v>589</v>
      </c>
      <c r="B40" s="104"/>
      <c r="C40" s="104"/>
      <c r="D40" s="104"/>
      <c r="E40" s="104"/>
      <c r="F40" s="104"/>
      <c r="G40" s="104"/>
      <c r="H40" s="104">
        <f>74192</f>
        <v>74192</v>
      </c>
      <c r="I40" s="104">
        <f>86320</f>
        <v>86320</v>
      </c>
      <c r="J40" s="104"/>
      <c r="K40" s="104"/>
      <c r="L40" s="104"/>
      <c r="M40" s="104">
        <v>68000</v>
      </c>
      <c r="N40" s="104"/>
      <c r="O40" s="104"/>
      <c r="P40" s="104"/>
      <c r="Q40" s="109"/>
    </row>
    <row r="41" spans="1:17" ht="15.75" hidden="1">
      <c r="A41" s="197" t="s">
        <v>439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Q41" s="143"/>
    </row>
    <row r="42" spans="1:17" ht="15.75" hidden="1">
      <c r="A42" s="197" t="s">
        <v>440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Q42" s="143"/>
    </row>
    <row r="43" spans="1:17" ht="15.75" hidden="1">
      <c r="A43" s="191" t="s">
        <v>441</v>
      </c>
      <c r="B43" s="294">
        <v>49</v>
      </c>
      <c r="C43" s="294">
        <v>24471</v>
      </c>
      <c r="D43" s="294">
        <v>7130</v>
      </c>
      <c r="E43" s="294">
        <v>0</v>
      </c>
      <c r="F43" s="104">
        <v>0</v>
      </c>
      <c r="G43" s="104"/>
      <c r="H43" s="104">
        <v>0</v>
      </c>
      <c r="I43" s="104"/>
      <c r="J43" s="104"/>
      <c r="K43" s="104"/>
      <c r="L43" s="104"/>
      <c r="M43" s="104"/>
      <c r="N43" s="104"/>
      <c r="O43" s="104"/>
      <c r="Q43" s="143"/>
    </row>
    <row r="44" spans="1:17" ht="15.75" hidden="1">
      <c r="A44" s="191" t="s">
        <v>442</v>
      </c>
      <c r="B44" s="294"/>
      <c r="C44" s="294">
        <v>265</v>
      </c>
      <c r="D44" s="294">
        <v>0</v>
      </c>
      <c r="E44" s="294">
        <v>0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Q44" s="143"/>
    </row>
    <row r="45" spans="1:17" ht="15.75" hidden="1">
      <c r="A45" s="191" t="s">
        <v>443</v>
      </c>
      <c r="B45" s="294"/>
      <c r="C45" s="294"/>
      <c r="D45" s="294">
        <v>0</v>
      </c>
      <c r="E45" s="294">
        <v>0</v>
      </c>
      <c r="F45" s="104">
        <v>67720</v>
      </c>
      <c r="G45" s="104" t="e">
        <f>#REF!</f>
        <v>#REF!</v>
      </c>
      <c r="H45" s="104">
        <v>0</v>
      </c>
      <c r="I45" s="104"/>
      <c r="J45" s="104"/>
      <c r="K45" s="104"/>
      <c r="L45" s="104"/>
      <c r="M45" s="104"/>
      <c r="N45" s="104"/>
      <c r="O45" s="104"/>
      <c r="Q45" s="143"/>
    </row>
    <row r="46" spans="1:17" ht="15.75">
      <c r="A46" s="197" t="s">
        <v>488</v>
      </c>
      <c r="B46" s="294"/>
      <c r="C46" s="294"/>
      <c r="D46" s="294"/>
      <c r="E46" s="294"/>
      <c r="F46" s="294"/>
      <c r="G46" s="104"/>
      <c r="H46" s="294"/>
      <c r="I46" s="294"/>
      <c r="J46" s="294"/>
      <c r="K46" s="294"/>
      <c r="L46" s="294"/>
      <c r="M46" s="294">
        <v>20000</v>
      </c>
      <c r="N46" s="294"/>
      <c r="O46" s="294"/>
      <c r="Q46" s="143"/>
    </row>
    <row r="47" spans="1:17" ht="15.75" hidden="1">
      <c r="A47" s="197" t="s">
        <v>444</v>
      </c>
      <c r="B47" s="294"/>
      <c r="C47" s="294"/>
      <c r="D47" s="294"/>
      <c r="E47" s="294"/>
      <c r="F47" s="294"/>
      <c r="G47" s="104"/>
      <c r="H47" s="294"/>
      <c r="I47" s="294"/>
      <c r="J47" s="294"/>
      <c r="K47" s="294"/>
      <c r="L47" s="294"/>
      <c r="M47" s="294"/>
      <c r="N47" s="294"/>
      <c r="O47" s="294"/>
      <c r="Q47" s="143"/>
    </row>
    <row r="48" spans="1:17" ht="15.75" hidden="1">
      <c r="A48" s="197" t="s">
        <v>445</v>
      </c>
      <c r="B48" s="294"/>
      <c r="C48" s="294"/>
      <c r="D48" s="294"/>
      <c r="E48" s="294"/>
      <c r="F48" s="294"/>
      <c r="G48" s="104"/>
      <c r="H48" s="294"/>
      <c r="I48" s="294"/>
      <c r="J48" s="294"/>
      <c r="K48" s="294"/>
      <c r="L48" s="294"/>
      <c r="M48" s="294"/>
      <c r="N48" s="294"/>
      <c r="O48" s="294"/>
      <c r="Q48" s="143"/>
    </row>
    <row r="49" spans="1:17" ht="15.75" hidden="1">
      <c r="A49" s="197" t="s">
        <v>446</v>
      </c>
      <c r="B49" s="294"/>
      <c r="C49" s="294"/>
      <c r="D49" s="294"/>
      <c r="E49" s="294"/>
      <c r="F49" s="294"/>
      <c r="G49" s="104"/>
      <c r="H49" s="294"/>
      <c r="I49" s="294"/>
      <c r="J49" s="294"/>
      <c r="K49" s="294"/>
      <c r="L49" s="294"/>
      <c r="M49" s="294"/>
      <c r="N49" s="294"/>
      <c r="O49" s="294"/>
      <c r="Q49" s="143"/>
    </row>
    <row r="50" spans="1:17" ht="15.75" hidden="1">
      <c r="A50" s="197" t="s">
        <v>447</v>
      </c>
      <c r="B50" s="294"/>
      <c r="C50" s="294"/>
      <c r="D50" s="294"/>
      <c r="E50" s="294"/>
      <c r="F50" s="294"/>
      <c r="G50" s="104"/>
      <c r="H50" s="294"/>
      <c r="I50" s="294"/>
      <c r="J50" s="294"/>
      <c r="K50" s="294"/>
      <c r="L50" s="294"/>
      <c r="M50" s="294"/>
      <c r="N50" s="294"/>
      <c r="O50" s="294"/>
      <c r="Q50" s="143"/>
    </row>
    <row r="51" spans="1:17" ht="15.75" hidden="1">
      <c r="A51" s="197" t="s">
        <v>448</v>
      </c>
      <c r="B51" s="294"/>
      <c r="C51" s="294"/>
      <c r="D51" s="294"/>
      <c r="E51" s="294"/>
      <c r="F51" s="294"/>
      <c r="G51" s="104"/>
      <c r="H51" s="294"/>
      <c r="I51" s="294"/>
      <c r="J51" s="294"/>
      <c r="K51" s="294"/>
      <c r="L51" s="294"/>
      <c r="M51" s="294"/>
      <c r="N51" s="294"/>
      <c r="O51" s="294"/>
      <c r="Q51" s="143"/>
    </row>
    <row r="52" spans="1:17" ht="15.75">
      <c r="A52" s="304" t="s">
        <v>449</v>
      </c>
      <c r="B52" s="294"/>
      <c r="C52" s="294"/>
      <c r="D52" s="294"/>
      <c r="E52" s="294"/>
      <c r="F52" s="294"/>
      <c r="G52" s="104"/>
      <c r="H52" s="294"/>
      <c r="I52" s="294"/>
      <c r="J52" s="294"/>
      <c r="K52" s="294"/>
      <c r="L52" s="294"/>
      <c r="M52" s="104">
        <v>1977400</v>
      </c>
      <c r="N52" s="104">
        <v>2100000</v>
      </c>
      <c r="O52" s="104">
        <v>1200000</v>
      </c>
      <c r="P52" s="104"/>
      <c r="Q52" s="109"/>
    </row>
    <row r="53" spans="1:17" ht="15.75" hidden="1">
      <c r="A53" s="197" t="s">
        <v>450</v>
      </c>
      <c r="B53" s="294"/>
      <c r="C53" s="294"/>
      <c r="D53" s="294"/>
      <c r="E53" s="294"/>
      <c r="F53" s="294"/>
      <c r="G53" s="104"/>
      <c r="H53" s="294"/>
      <c r="I53" s="294"/>
      <c r="J53" s="294"/>
      <c r="K53" s="294"/>
      <c r="L53" s="294"/>
      <c r="M53" s="294"/>
      <c r="N53" s="294"/>
      <c r="O53" s="294"/>
      <c r="Q53" s="143"/>
    </row>
    <row r="54" spans="1:17" ht="15.75" hidden="1">
      <c r="A54" s="197" t="s">
        <v>451</v>
      </c>
      <c r="B54" s="294"/>
      <c r="C54" s="294"/>
      <c r="D54" s="294"/>
      <c r="E54" s="294"/>
      <c r="F54" s="294"/>
      <c r="G54" s="104"/>
      <c r="H54" s="294"/>
      <c r="I54" s="294"/>
      <c r="J54" s="294"/>
      <c r="K54" s="294"/>
      <c r="L54" s="294"/>
      <c r="M54" s="294"/>
      <c r="N54" s="294"/>
      <c r="O54" s="294"/>
      <c r="Q54" s="143"/>
    </row>
    <row r="55" spans="1:17" ht="15.75" hidden="1">
      <c r="A55" s="197" t="s">
        <v>452</v>
      </c>
      <c r="B55" s="294"/>
      <c r="C55" s="294"/>
      <c r="D55" s="294"/>
      <c r="E55" s="294"/>
      <c r="F55" s="294"/>
      <c r="G55" s="104"/>
      <c r="H55" s="294"/>
      <c r="I55" s="294"/>
      <c r="J55" s="294"/>
      <c r="K55" s="294"/>
      <c r="L55" s="294"/>
      <c r="M55" s="294"/>
      <c r="N55" s="294"/>
      <c r="O55" s="294"/>
      <c r="Q55" s="143"/>
    </row>
    <row r="56" spans="1:17" ht="15.75" hidden="1">
      <c r="A56" s="197" t="s">
        <v>453</v>
      </c>
      <c r="B56" s="294"/>
      <c r="C56" s="294"/>
      <c r="D56" s="294"/>
      <c r="E56" s="294"/>
      <c r="F56" s="294"/>
      <c r="G56" s="104"/>
      <c r="H56" s="294"/>
      <c r="I56" s="294"/>
      <c r="J56" s="294"/>
      <c r="K56" s="294"/>
      <c r="L56" s="294"/>
      <c r="M56" s="294"/>
      <c r="N56" s="294"/>
      <c r="O56" s="294"/>
      <c r="Q56" s="143"/>
    </row>
    <row r="57" spans="1:17" ht="15.75" hidden="1">
      <c r="A57" s="197" t="s">
        <v>454</v>
      </c>
      <c r="B57" s="294"/>
      <c r="C57" s="294"/>
      <c r="D57" s="294"/>
      <c r="E57" s="294"/>
      <c r="F57" s="294"/>
      <c r="G57" s="104"/>
      <c r="H57" s="294"/>
      <c r="I57" s="294"/>
      <c r="J57" s="294"/>
      <c r="K57" s="294"/>
      <c r="L57" s="294"/>
      <c r="M57" s="294"/>
      <c r="N57" s="294"/>
      <c r="O57" s="294"/>
      <c r="Q57" s="143"/>
    </row>
    <row r="58" spans="1:17" ht="15.75" hidden="1">
      <c r="A58" s="197" t="s">
        <v>455</v>
      </c>
      <c r="B58" s="294"/>
      <c r="C58" s="294"/>
      <c r="D58" s="294"/>
      <c r="E58" s="294"/>
      <c r="F58" s="294"/>
      <c r="G58" s="104"/>
      <c r="H58" s="294"/>
      <c r="I58" s="294"/>
      <c r="J58" s="294"/>
      <c r="K58" s="294"/>
      <c r="L58" s="294"/>
      <c r="M58" s="294"/>
      <c r="N58" s="294"/>
      <c r="O58" s="294"/>
      <c r="Q58" s="143"/>
    </row>
    <row r="59" spans="1:17" ht="15.75" hidden="1">
      <c r="A59" s="197" t="s">
        <v>456</v>
      </c>
      <c r="B59" s="294"/>
      <c r="C59" s="294"/>
      <c r="D59" s="294"/>
      <c r="E59" s="294"/>
      <c r="F59" s="294"/>
      <c r="G59" s="104"/>
      <c r="H59" s="294"/>
      <c r="I59" s="294"/>
      <c r="J59" s="294"/>
      <c r="K59" s="294"/>
      <c r="L59" s="294"/>
      <c r="M59" s="294"/>
      <c r="N59" s="294"/>
      <c r="O59" s="294"/>
      <c r="Q59" s="143"/>
    </row>
    <row r="60" spans="1:17" ht="15.75" hidden="1">
      <c r="A60" s="197" t="s">
        <v>457</v>
      </c>
      <c r="B60" s="294"/>
      <c r="C60" s="294"/>
      <c r="D60" s="294"/>
      <c r="E60" s="294"/>
      <c r="F60" s="294"/>
      <c r="G60" s="104"/>
      <c r="H60" s="294"/>
      <c r="I60" s="294"/>
      <c r="J60" s="294"/>
      <c r="K60" s="294"/>
      <c r="L60" s="294"/>
      <c r="M60" s="294"/>
      <c r="N60" s="294"/>
      <c r="O60" s="294"/>
      <c r="Q60" s="143"/>
    </row>
    <row r="61" spans="1:17" ht="15.75" hidden="1">
      <c r="A61" s="197" t="s">
        <v>458</v>
      </c>
      <c r="B61" s="294"/>
      <c r="C61" s="294"/>
      <c r="D61" s="294"/>
      <c r="E61" s="294"/>
      <c r="F61" s="294"/>
      <c r="G61" s="104"/>
      <c r="H61" s="294"/>
      <c r="I61" s="294"/>
      <c r="J61" s="294"/>
      <c r="K61" s="294"/>
      <c r="L61" s="294"/>
      <c r="M61" s="294"/>
      <c r="N61" s="294"/>
      <c r="O61" s="294"/>
      <c r="Q61" s="143"/>
    </row>
    <row r="62" spans="1:17" ht="15.75" hidden="1">
      <c r="A62" s="197" t="s">
        <v>459</v>
      </c>
      <c r="B62" s="294"/>
      <c r="C62" s="294"/>
      <c r="D62" s="294"/>
      <c r="E62" s="294"/>
      <c r="F62" s="294"/>
      <c r="G62" s="104"/>
      <c r="H62" s="294"/>
      <c r="I62" s="294"/>
      <c r="J62" s="294"/>
      <c r="K62" s="294"/>
      <c r="L62" s="294"/>
      <c r="M62" s="294"/>
      <c r="N62" s="294"/>
      <c r="O62" s="294"/>
      <c r="Q62" s="143"/>
    </row>
    <row r="63" spans="1:17" ht="15.75" hidden="1">
      <c r="A63" s="197" t="s">
        <v>460</v>
      </c>
      <c r="B63" s="294"/>
      <c r="C63" s="294"/>
      <c r="D63" s="294"/>
      <c r="E63" s="294"/>
      <c r="F63" s="294"/>
      <c r="G63" s="104"/>
      <c r="H63" s="294"/>
      <c r="I63" s="294"/>
      <c r="J63" s="294"/>
      <c r="K63" s="294"/>
      <c r="L63" s="294"/>
      <c r="M63" s="294"/>
      <c r="N63" s="294"/>
      <c r="O63" s="294"/>
      <c r="Q63" s="143"/>
    </row>
    <row r="64" spans="1:17" ht="15.75">
      <c r="A64" s="197" t="s">
        <v>461</v>
      </c>
      <c r="B64" s="294"/>
      <c r="C64" s="294"/>
      <c r="D64" s="294"/>
      <c r="E64" s="294"/>
      <c r="F64" s="294"/>
      <c r="G64" s="104"/>
      <c r="H64" s="294"/>
      <c r="I64" s="294"/>
      <c r="J64" s="294"/>
      <c r="K64" s="294"/>
      <c r="L64" s="294"/>
      <c r="M64" s="294">
        <v>425000</v>
      </c>
      <c r="N64" s="294"/>
      <c r="O64" s="294"/>
      <c r="Q64" s="143"/>
    </row>
    <row r="65" spans="1:17" ht="15.75">
      <c r="A65" s="197" t="s">
        <v>462</v>
      </c>
      <c r="B65" s="294"/>
      <c r="C65" s="294"/>
      <c r="D65" s="294"/>
      <c r="E65" s="294"/>
      <c r="F65" s="294"/>
      <c r="G65" s="104"/>
      <c r="H65" s="294"/>
      <c r="I65" s="294"/>
      <c r="J65" s="294"/>
      <c r="K65" s="294"/>
      <c r="L65" s="294"/>
      <c r="M65" s="294">
        <v>19999000</v>
      </c>
      <c r="N65" s="294">
        <v>3000000</v>
      </c>
      <c r="O65" s="294">
        <v>0</v>
      </c>
      <c r="P65" s="294">
        <v>0</v>
      </c>
      <c r="Q65" s="357">
        <v>0</v>
      </c>
    </row>
    <row r="66" spans="1:17" ht="15.75" hidden="1">
      <c r="A66" s="197" t="s">
        <v>463</v>
      </c>
      <c r="B66" s="294"/>
      <c r="C66" s="294"/>
      <c r="D66" s="294"/>
      <c r="E66" s="294"/>
      <c r="F66" s="294"/>
      <c r="G66" s="104"/>
      <c r="H66" s="294"/>
      <c r="I66" s="294"/>
      <c r="J66" s="294"/>
      <c r="K66" s="104">
        <v>1116</v>
      </c>
      <c r="L66" s="104">
        <v>46986</v>
      </c>
      <c r="M66" s="294"/>
      <c r="N66" s="294"/>
      <c r="O66" s="294"/>
      <c r="Q66" s="143"/>
    </row>
    <row r="67" spans="1:17" ht="15.75" hidden="1">
      <c r="A67" s="197" t="s">
        <v>464</v>
      </c>
      <c r="B67" s="294"/>
      <c r="C67" s="294"/>
      <c r="D67" s="294"/>
      <c r="E67" s="294"/>
      <c r="F67" s="294"/>
      <c r="G67" s="104"/>
      <c r="H67" s="294"/>
      <c r="I67" s="294"/>
      <c r="J67" s="294"/>
      <c r="K67" s="294"/>
      <c r="L67" s="294"/>
      <c r="M67" s="294"/>
      <c r="N67" s="294"/>
      <c r="O67" s="294"/>
      <c r="Q67" s="143"/>
    </row>
    <row r="68" spans="1:17" ht="15.75" hidden="1">
      <c r="A68" s="197" t="s">
        <v>465</v>
      </c>
      <c r="B68" s="294"/>
      <c r="C68" s="294"/>
      <c r="D68" s="294"/>
      <c r="E68" s="294"/>
      <c r="F68" s="294"/>
      <c r="G68" s="104"/>
      <c r="H68" s="294"/>
      <c r="I68" s="294"/>
      <c r="J68" s="294"/>
      <c r="K68" s="294"/>
      <c r="L68" s="294"/>
      <c r="M68" s="294"/>
      <c r="N68" s="294"/>
      <c r="O68" s="294"/>
      <c r="Q68" s="143"/>
    </row>
    <row r="69" spans="1:17" ht="15.75">
      <c r="A69" s="304" t="s">
        <v>466</v>
      </c>
      <c r="B69" s="294"/>
      <c r="C69" s="294"/>
      <c r="D69" s="294"/>
      <c r="E69" s="294"/>
      <c r="F69" s="104"/>
      <c r="G69" s="104"/>
      <c r="H69" s="297"/>
      <c r="I69" s="297"/>
      <c r="J69" s="104"/>
      <c r="K69" s="104">
        <v>70130</v>
      </c>
      <c r="L69" s="104">
        <v>76098</v>
      </c>
      <c r="M69" s="294">
        <v>2830000</v>
      </c>
      <c r="N69" s="104"/>
      <c r="O69" s="104"/>
      <c r="Q69" s="143"/>
    </row>
    <row r="70" spans="1:17" ht="15.75" hidden="1">
      <c r="A70" s="197" t="s">
        <v>467</v>
      </c>
      <c r="B70" s="294"/>
      <c r="C70" s="294"/>
      <c r="D70" s="294"/>
      <c r="E70" s="294"/>
      <c r="F70" s="294"/>
      <c r="G70" s="104"/>
      <c r="H70" s="294"/>
      <c r="I70" s="294"/>
      <c r="J70" s="294"/>
      <c r="K70" s="294"/>
      <c r="L70" s="294"/>
      <c r="M70" s="294"/>
      <c r="N70" s="294"/>
      <c r="O70" s="294"/>
      <c r="Q70" s="143"/>
    </row>
    <row r="71" spans="1:17" ht="15.75" hidden="1">
      <c r="A71" s="197" t="s">
        <v>468</v>
      </c>
      <c r="B71" s="294"/>
      <c r="C71" s="294"/>
      <c r="D71" s="294"/>
      <c r="E71" s="294"/>
      <c r="F71" s="294"/>
      <c r="G71" s="104"/>
      <c r="H71" s="294"/>
      <c r="I71" s="294"/>
      <c r="J71" s="294"/>
      <c r="K71" s="294"/>
      <c r="L71" s="294"/>
      <c r="M71" s="294"/>
      <c r="N71" s="294"/>
      <c r="O71" s="294"/>
      <c r="Q71" s="143"/>
    </row>
    <row r="72" spans="1:17" ht="15.75" hidden="1">
      <c r="A72" s="197" t="s">
        <v>469</v>
      </c>
      <c r="B72" s="294"/>
      <c r="C72" s="294"/>
      <c r="D72" s="294"/>
      <c r="E72" s="294"/>
      <c r="F72" s="294"/>
      <c r="G72" s="104"/>
      <c r="H72" s="294"/>
      <c r="I72" s="294"/>
      <c r="J72" s="294"/>
      <c r="K72" s="294"/>
      <c r="L72" s="294"/>
      <c r="M72" s="294"/>
      <c r="N72" s="294"/>
      <c r="O72" s="294"/>
      <c r="Q72" s="143"/>
    </row>
    <row r="73" spans="1:17" ht="15.75">
      <c r="A73" s="197" t="s">
        <v>470</v>
      </c>
      <c r="B73" s="294"/>
      <c r="C73" s="294"/>
      <c r="D73" s="294"/>
      <c r="E73" s="294"/>
      <c r="F73" s="294"/>
      <c r="G73" s="104"/>
      <c r="H73" s="294"/>
      <c r="I73" s="294"/>
      <c r="J73" s="294"/>
      <c r="K73" s="294"/>
      <c r="L73" s="294"/>
      <c r="M73" s="294">
        <v>1090000</v>
      </c>
      <c r="N73" s="294">
        <v>0</v>
      </c>
      <c r="O73" s="294">
        <v>500000</v>
      </c>
      <c r="P73" s="294">
        <v>40000</v>
      </c>
      <c r="Q73" s="357">
        <v>0</v>
      </c>
    </row>
    <row r="74" spans="1:17" ht="15.75" hidden="1">
      <c r="A74" s="197" t="s">
        <v>471</v>
      </c>
      <c r="B74" s="294"/>
      <c r="C74" s="294"/>
      <c r="D74" s="294"/>
      <c r="E74" s="294"/>
      <c r="F74" s="294"/>
      <c r="G74" s="104"/>
      <c r="H74" s="294"/>
      <c r="I74" s="294"/>
      <c r="J74" s="294"/>
      <c r="K74" s="294"/>
      <c r="L74" s="294"/>
      <c r="M74" s="294"/>
      <c r="N74" s="294"/>
      <c r="O74" s="294"/>
      <c r="Q74" s="143"/>
    </row>
    <row r="75" spans="1:17" ht="15.75" hidden="1">
      <c r="A75" s="197" t="s">
        <v>472</v>
      </c>
      <c r="B75" s="294"/>
      <c r="C75" s="294"/>
      <c r="D75" s="294"/>
      <c r="E75" s="294"/>
      <c r="F75" s="294"/>
      <c r="G75" s="104"/>
      <c r="H75" s="294"/>
      <c r="I75" s="294"/>
      <c r="J75" s="294"/>
      <c r="K75" s="294"/>
      <c r="L75" s="294"/>
      <c r="M75" s="294"/>
      <c r="N75" s="294"/>
      <c r="O75" s="294"/>
      <c r="Q75" s="143"/>
    </row>
    <row r="76" spans="1:17" ht="15.75" hidden="1">
      <c r="A76" s="197" t="s">
        <v>473</v>
      </c>
      <c r="B76" s="294"/>
      <c r="C76" s="294"/>
      <c r="D76" s="294"/>
      <c r="E76" s="294"/>
      <c r="F76" s="294"/>
      <c r="G76" s="104"/>
      <c r="H76" s="294"/>
      <c r="I76" s="294"/>
      <c r="J76" s="294"/>
      <c r="K76" s="294"/>
      <c r="L76" s="294"/>
      <c r="M76" s="294"/>
      <c r="O76" s="294"/>
      <c r="Q76" s="143"/>
    </row>
    <row r="77" spans="1:18" ht="15.75" hidden="1">
      <c r="A77" s="197" t="s">
        <v>474</v>
      </c>
      <c r="B77" s="294"/>
      <c r="C77" s="294"/>
      <c r="D77" s="294"/>
      <c r="E77" s="294"/>
      <c r="F77" s="294"/>
      <c r="G77" s="104"/>
      <c r="H77" s="294"/>
      <c r="I77" s="294"/>
      <c r="J77" s="294"/>
      <c r="K77" s="294"/>
      <c r="L77" s="294"/>
      <c r="M77" s="294"/>
      <c r="N77" s="294"/>
      <c r="O77" s="294"/>
      <c r="P77" s="138"/>
      <c r="Q77" s="139"/>
      <c r="R77" s="138"/>
    </row>
    <row r="78" spans="1:18" ht="15.75" hidden="1">
      <c r="A78" s="197" t="s">
        <v>475</v>
      </c>
      <c r="B78" s="294"/>
      <c r="C78" s="294"/>
      <c r="D78" s="294"/>
      <c r="E78" s="294"/>
      <c r="F78" s="294"/>
      <c r="G78" s="104"/>
      <c r="H78" s="294"/>
      <c r="I78" s="294"/>
      <c r="J78" s="294"/>
      <c r="K78" s="104">
        <v>223102</v>
      </c>
      <c r="L78" s="104">
        <v>1512015</v>
      </c>
      <c r="M78" s="294"/>
      <c r="N78" s="294"/>
      <c r="O78" s="294"/>
      <c r="P78" s="138"/>
      <c r="Q78" s="139"/>
      <c r="R78" s="138"/>
    </row>
    <row r="79" spans="1:18" ht="15.75">
      <c r="A79" s="197" t="s">
        <v>476</v>
      </c>
      <c r="B79" s="294"/>
      <c r="C79" s="294"/>
      <c r="D79" s="294">
        <v>0</v>
      </c>
      <c r="E79" s="294" t="e">
        <f>#REF!</f>
        <v>#REF!</v>
      </c>
      <c r="F79" s="294">
        <v>190867</v>
      </c>
      <c r="G79" s="104" t="e">
        <f>#REF!</f>
        <v>#REF!</v>
      </c>
      <c r="H79" s="294">
        <v>69691</v>
      </c>
      <c r="I79" s="294">
        <v>229415</v>
      </c>
      <c r="J79" s="294"/>
      <c r="K79" s="294"/>
      <c r="L79" s="294"/>
      <c r="M79" s="294">
        <v>100000</v>
      </c>
      <c r="N79" s="294">
        <v>150000</v>
      </c>
      <c r="O79" s="294">
        <v>250000</v>
      </c>
      <c r="P79" s="294">
        <v>150000</v>
      </c>
      <c r="Q79" s="357">
        <v>0</v>
      </c>
      <c r="R79" s="138"/>
    </row>
    <row r="80" spans="1:18" ht="15.75" hidden="1">
      <c r="A80" s="197" t="s">
        <v>477</v>
      </c>
      <c r="B80" s="294"/>
      <c r="C80" s="294"/>
      <c r="D80" s="294"/>
      <c r="E80" s="294"/>
      <c r="F80" s="294"/>
      <c r="G80" s="104"/>
      <c r="H80" s="294"/>
      <c r="I80" s="294"/>
      <c r="J80" s="294"/>
      <c r="K80" s="294"/>
      <c r="L80" s="294"/>
      <c r="M80" s="294"/>
      <c r="N80" s="294"/>
      <c r="O80" s="294"/>
      <c r="P80" s="138"/>
      <c r="Q80" s="139"/>
      <c r="R80" s="138"/>
    </row>
    <row r="81" spans="1:18" ht="15.75" hidden="1">
      <c r="A81" s="197" t="s">
        <v>478</v>
      </c>
      <c r="B81" s="294"/>
      <c r="C81" s="294"/>
      <c r="D81" s="294"/>
      <c r="E81" s="294"/>
      <c r="F81" s="294"/>
      <c r="G81" s="104"/>
      <c r="H81" s="294"/>
      <c r="I81" s="294"/>
      <c r="J81" s="294"/>
      <c r="K81" s="294"/>
      <c r="L81" s="294"/>
      <c r="M81" s="294"/>
      <c r="N81" s="294"/>
      <c r="O81" s="294"/>
      <c r="P81" s="138"/>
      <c r="Q81" s="139"/>
      <c r="R81" s="138"/>
    </row>
    <row r="82" spans="1:18" ht="15.75" hidden="1">
      <c r="A82" s="197" t="s">
        <v>479</v>
      </c>
      <c r="B82" s="294"/>
      <c r="C82" s="294"/>
      <c r="D82" s="294"/>
      <c r="E82" s="294"/>
      <c r="F82" s="294"/>
      <c r="G82" s="104"/>
      <c r="H82" s="294"/>
      <c r="I82" s="294"/>
      <c r="J82" s="294"/>
      <c r="K82" s="294"/>
      <c r="L82" s="294"/>
      <c r="M82" s="294"/>
      <c r="N82" s="294"/>
      <c r="O82" s="294"/>
      <c r="P82" s="138"/>
      <c r="Q82" s="139"/>
      <c r="R82" s="138"/>
    </row>
    <row r="83" spans="1:18" ht="15.75" hidden="1">
      <c r="A83" s="197" t="s">
        <v>480</v>
      </c>
      <c r="B83" s="294"/>
      <c r="C83" s="294"/>
      <c r="D83" s="294"/>
      <c r="E83" s="294"/>
      <c r="F83" s="294"/>
      <c r="G83" s="104"/>
      <c r="H83" s="294"/>
      <c r="I83" s="294"/>
      <c r="J83" s="294"/>
      <c r="K83" s="294"/>
      <c r="L83" s="294"/>
      <c r="M83" s="294"/>
      <c r="N83" s="294"/>
      <c r="O83" s="294"/>
      <c r="P83" s="138"/>
      <c r="Q83" s="139"/>
      <c r="R83" s="138"/>
    </row>
    <row r="84" spans="1:18" ht="15.75">
      <c r="A84" s="304" t="s">
        <v>481</v>
      </c>
      <c r="B84" s="294"/>
      <c r="C84" s="294"/>
      <c r="D84" s="294"/>
      <c r="E84" s="294"/>
      <c r="F84" s="294"/>
      <c r="G84" s="104"/>
      <c r="H84" s="294"/>
      <c r="I84" s="294"/>
      <c r="J84" s="294"/>
      <c r="K84" s="294"/>
      <c r="L84" s="294"/>
      <c r="M84" s="104">
        <v>350000</v>
      </c>
      <c r="N84" s="104">
        <v>400000</v>
      </c>
      <c r="O84" s="104">
        <v>400000</v>
      </c>
      <c r="P84" s="138">
        <v>400000</v>
      </c>
      <c r="Q84" s="139">
        <v>450000</v>
      </c>
      <c r="R84" s="138"/>
    </row>
    <row r="85" spans="1:17" ht="15.75">
      <c r="A85" s="193" t="s">
        <v>177</v>
      </c>
      <c r="B85" s="294"/>
      <c r="C85" s="294"/>
      <c r="D85" s="294"/>
      <c r="E85" s="294"/>
      <c r="F85" s="294"/>
      <c r="G85" s="104"/>
      <c r="H85" s="294"/>
      <c r="I85" s="294"/>
      <c r="J85" s="294"/>
      <c r="K85" s="294"/>
      <c r="L85" s="294"/>
      <c r="M85" s="294">
        <v>548200</v>
      </c>
      <c r="N85" s="294">
        <v>1225200</v>
      </c>
      <c r="O85" s="104">
        <v>2782400</v>
      </c>
      <c r="P85" s="104">
        <v>2873300</v>
      </c>
      <c r="Q85" s="109">
        <v>2788400</v>
      </c>
    </row>
    <row r="86" spans="1:17" ht="20.25">
      <c r="A86" s="193" t="s">
        <v>489</v>
      </c>
      <c r="B86" s="180"/>
      <c r="C86" s="180">
        <f>SUM(C16:C35)</f>
        <v>50500</v>
      </c>
      <c r="D86" s="180">
        <f>SUM(D16:D35)</f>
        <v>30527</v>
      </c>
      <c r="E86" s="180" t="e">
        <f aca="true" t="shared" si="0" ref="E86:L86">SUM(E16:E85)</f>
        <v>#REF!</v>
      </c>
      <c r="F86" s="180">
        <f t="shared" si="0"/>
        <v>312141</v>
      </c>
      <c r="G86" s="180" t="e">
        <f t="shared" si="0"/>
        <v>#REF!</v>
      </c>
      <c r="H86" s="180">
        <f t="shared" si="0"/>
        <v>614290</v>
      </c>
      <c r="I86" s="180">
        <f t="shared" si="0"/>
        <v>721384</v>
      </c>
      <c r="J86" s="180">
        <f t="shared" si="0"/>
        <v>734895</v>
      </c>
      <c r="K86" s="180">
        <f t="shared" si="0"/>
        <v>2123126</v>
      </c>
      <c r="L86" s="180">
        <f t="shared" si="0"/>
        <v>3232761</v>
      </c>
      <c r="M86" s="181">
        <f>SUM(M15:M85)</f>
        <v>32062845</v>
      </c>
      <c r="N86" s="181">
        <f>SUM(N15:N85)</f>
        <v>11601630</v>
      </c>
      <c r="O86" s="181">
        <f>SUM(O15:O85)</f>
        <v>10589670</v>
      </c>
      <c r="P86" s="181">
        <f>SUM(P15:P85)</f>
        <v>9110090</v>
      </c>
      <c r="Q86" s="194">
        <f>SUM(Q15:Q85)</f>
        <v>8958470</v>
      </c>
    </row>
    <row r="87" spans="1:17" ht="15.75">
      <c r="A87" s="193" t="s">
        <v>482</v>
      </c>
      <c r="B87" s="180"/>
      <c r="C87" s="180" t="e">
        <f aca="true" t="shared" si="1" ref="C87:H87">C13-C86</f>
        <v>#REF!</v>
      </c>
      <c r="D87" s="180" t="e">
        <f t="shared" si="1"/>
        <v>#REF!</v>
      </c>
      <c r="E87" s="180" t="e">
        <f t="shared" si="1"/>
        <v>#REF!</v>
      </c>
      <c r="F87" s="180" t="e">
        <f t="shared" si="1"/>
        <v>#REF!</v>
      </c>
      <c r="G87" s="180" t="e">
        <f t="shared" si="1"/>
        <v>#REF!</v>
      </c>
      <c r="H87" s="180" t="e">
        <f t="shared" si="1"/>
        <v>#REF!</v>
      </c>
      <c r="I87" s="180"/>
      <c r="J87" s="180"/>
      <c r="K87" s="180"/>
      <c r="L87" s="180"/>
      <c r="M87" s="180">
        <f>M13-M86</f>
        <v>3173055</v>
      </c>
      <c r="N87" s="180">
        <f>N13-N86</f>
        <v>-6139230</v>
      </c>
      <c r="O87" s="180">
        <f>O13-O86</f>
        <v>-4894670</v>
      </c>
      <c r="P87" s="180">
        <f>P13-P86</f>
        <v>-3148290</v>
      </c>
      <c r="Q87" s="209">
        <f>Q13-Q86</f>
        <v>-2745970</v>
      </c>
    </row>
    <row r="88" spans="1:17" ht="20.25">
      <c r="A88" s="187" t="s">
        <v>483</v>
      </c>
      <c r="B88" s="308"/>
      <c r="C88" s="308" t="e">
        <f aca="true" t="shared" si="2" ref="C88:H88">C7+C87</f>
        <v>#REF!</v>
      </c>
      <c r="D88" s="308" t="e">
        <f t="shared" si="2"/>
        <v>#REF!</v>
      </c>
      <c r="E88" s="308" t="e">
        <f t="shared" si="2"/>
        <v>#REF!</v>
      </c>
      <c r="F88" s="308" t="e">
        <f t="shared" si="2"/>
        <v>#REF!</v>
      </c>
      <c r="G88" s="308" t="e">
        <f t="shared" si="2"/>
        <v>#REF!</v>
      </c>
      <c r="H88" s="308" t="e">
        <f t="shared" si="2"/>
        <v>#REF!</v>
      </c>
      <c r="I88" s="308"/>
      <c r="J88" s="308"/>
      <c r="K88" s="308"/>
      <c r="L88" s="308"/>
      <c r="M88" s="309">
        <f>M7+M87</f>
        <v>8088009</v>
      </c>
      <c r="N88" s="309">
        <f>N7+N87</f>
        <v>3233779</v>
      </c>
      <c r="O88" s="309">
        <f>O7+O87</f>
        <v>-86891</v>
      </c>
      <c r="P88" s="309">
        <f>P7+P87</f>
        <v>-1245181</v>
      </c>
      <c r="Q88" s="310">
        <f>Q7+Q87</f>
        <v>-1898151</v>
      </c>
    </row>
    <row r="89" spans="1:17" ht="15.75">
      <c r="A89" s="193" t="s">
        <v>484</v>
      </c>
      <c r="B89" s="174"/>
      <c r="C89" s="174">
        <v>2500000</v>
      </c>
      <c r="D89" s="174">
        <v>2500000</v>
      </c>
      <c r="E89" s="174">
        <v>2500000</v>
      </c>
      <c r="F89" s="174">
        <v>2500000</v>
      </c>
      <c r="G89" s="174">
        <v>2500000</v>
      </c>
      <c r="H89" s="174">
        <v>2500000</v>
      </c>
      <c r="I89" s="174"/>
      <c r="J89" s="174"/>
      <c r="K89" s="174"/>
      <c r="L89" s="174"/>
      <c r="M89" s="174">
        <v>2500000</v>
      </c>
      <c r="N89" s="174">
        <v>2500000</v>
      </c>
      <c r="O89" s="174">
        <v>2500000</v>
      </c>
      <c r="P89" s="174">
        <v>2500000</v>
      </c>
      <c r="Q89" s="190">
        <v>2500000</v>
      </c>
    </row>
    <row r="90" spans="1:17" ht="20.25">
      <c r="A90" s="239" t="s">
        <v>485</v>
      </c>
      <c r="B90" s="307"/>
      <c r="C90" s="307" t="e">
        <f aca="true" t="shared" si="3" ref="C90:H90">+C88-C89</f>
        <v>#REF!</v>
      </c>
      <c r="D90" s="307" t="e">
        <f t="shared" si="3"/>
        <v>#REF!</v>
      </c>
      <c r="E90" s="307" t="e">
        <f t="shared" si="3"/>
        <v>#REF!</v>
      </c>
      <c r="F90" s="307" t="e">
        <f t="shared" si="3"/>
        <v>#REF!</v>
      </c>
      <c r="G90" s="307" t="e">
        <f t="shared" si="3"/>
        <v>#REF!</v>
      </c>
      <c r="H90" s="307" t="e">
        <f t="shared" si="3"/>
        <v>#REF!</v>
      </c>
      <c r="I90" s="307"/>
      <c r="J90" s="307"/>
      <c r="K90" s="307"/>
      <c r="L90" s="307"/>
      <c r="M90" s="311">
        <f>+M88-M89</f>
        <v>5588009</v>
      </c>
      <c r="N90" s="311">
        <f>+N88-N89</f>
        <v>733779</v>
      </c>
      <c r="O90" s="311">
        <f>+O88-O89</f>
        <v>-2586891</v>
      </c>
      <c r="P90" s="311">
        <f>+P88-P89</f>
        <v>-3745181</v>
      </c>
      <c r="Q90" s="312">
        <f>+Q88-Q89</f>
        <v>-4398151</v>
      </c>
    </row>
    <row r="91" spans="1:17" ht="15.7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</row>
    <row r="92" ht="15.75">
      <c r="A92" s="86"/>
    </row>
    <row r="94" spans="2:17" ht="15.75"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04"/>
      <c r="Q94" s="104"/>
    </row>
    <row r="95" spans="2:17" ht="15.75"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04"/>
      <c r="Q95" s="104"/>
    </row>
    <row r="96" spans="2:17" ht="15.75"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04"/>
      <c r="Q96" s="104"/>
    </row>
    <row r="97" spans="2:17" ht="15.75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04"/>
      <c r="Q97" s="104"/>
    </row>
    <row r="98" spans="2:17" ht="15.75"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04"/>
      <c r="Q98" s="104"/>
    </row>
    <row r="99" spans="2:17" ht="15.75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04"/>
      <c r="Q99" s="104"/>
    </row>
    <row r="100" spans="2:17" ht="15.75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04"/>
      <c r="Q100" s="104"/>
    </row>
    <row r="101" spans="2:17" ht="15.75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</row>
    <row r="102" spans="2:17" ht="15.75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</row>
    <row r="103" spans="2:17" ht="15.75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</row>
    <row r="104" spans="2:17" ht="15.75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ht="15.75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ht="15.75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ht="15.75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5"/>
  <sheetViews>
    <sheetView workbookViewId="0" topLeftCell="A19">
      <selection activeCell="A16" sqref="A16:Q62"/>
    </sheetView>
  </sheetViews>
  <sheetFormatPr defaultColWidth="9.00390625" defaultRowHeight="15.75"/>
  <cols>
    <col min="1" max="1" width="32.50390625" style="142" customWidth="1"/>
    <col min="2" max="2" width="7.00390625" style="142" hidden="1" customWidth="1"/>
    <col min="3" max="9" width="12.375" style="142" hidden="1" customWidth="1"/>
    <col min="10" max="10" width="10.625" style="142" hidden="1" customWidth="1"/>
    <col min="11" max="12" width="12.375" style="142" hidden="1" customWidth="1"/>
    <col min="13" max="13" width="13.625" style="142" bestFit="1" customWidth="1"/>
    <col min="14" max="14" width="13.00390625" style="142" bestFit="1" customWidth="1"/>
    <col min="15" max="17" width="13.625" style="142" bestFit="1" customWidth="1"/>
    <col min="18" max="16384" width="9.00390625" style="142" customWidth="1"/>
  </cols>
  <sheetData>
    <row r="1" spans="1:5" ht="15.75">
      <c r="A1" s="289" t="s">
        <v>410</v>
      </c>
      <c r="B1" s="172"/>
      <c r="C1" s="172"/>
      <c r="D1" s="172"/>
      <c r="E1" s="172"/>
    </row>
    <row r="2" spans="1:5" ht="15.75">
      <c r="A2" s="290" t="s">
        <v>411</v>
      </c>
      <c r="B2" s="172"/>
      <c r="C2" s="172"/>
      <c r="D2" s="172"/>
      <c r="E2" s="172"/>
    </row>
    <row r="3" spans="1:5" ht="15.75">
      <c r="A3" s="289" t="s">
        <v>412</v>
      </c>
      <c r="B3" s="172"/>
      <c r="C3" s="172"/>
      <c r="D3" s="172"/>
      <c r="E3" s="172"/>
    </row>
    <row r="4" spans="1:5" ht="15.75">
      <c r="A4" s="291" t="s">
        <v>544</v>
      </c>
      <c r="B4" s="172"/>
      <c r="C4" s="172"/>
      <c r="D4" s="172"/>
      <c r="E4" s="172"/>
    </row>
    <row r="5" spans="2:5" ht="15.75">
      <c r="B5" s="172"/>
      <c r="C5" s="172"/>
      <c r="D5" s="172"/>
      <c r="E5" s="172"/>
    </row>
    <row r="6" spans="1:17" ht="15.75">
      <c r="A6" s="234" t="s">
        <v>0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35">
        <v>2019</v>
      </c>
      <c r="N6" s="235">
        <v>2020</v>
      </c>
      <c r="O6" s="235">
        <v>2021</v>
      </c>
      <c r="P6" s="235">
        <v>2022</v>
      </c>
      <c r="Q6" s="236">
        <v>2023</v>
      </c>
    </row>
    <row r="7" spans="1:17" ht="15.75">
      <c r="A7" s="187" t="s">
        <v>391</v>
      </c>
      <c r="B7" s="292"/>
      <c r="C7" s="293">
        <v>607945</v>
      </c>
      <c r="D7" s="293" t="e">
        <f>C94</f>
        <v>#REF!</v>
      </c>
      <c r="E7" s="293" t="e">
        <f>D94</f>
        <v>#REF!</v>
      </c>
      <c r="F7" s="293" t="e">
        <f>E94</f>
        <v>#REF!</v>
      </c>
      <c r="G7" s="293" t="e">
        <f>F94</f>
        <v>#REF!</v>
      </c>
      <c r="H7" s="293" t="e">
        <f>#REF!</f>
        <v>#REF!</v>
      </c>
      <c r="I7" s="293">
        <v>3001791</v>
      </c>
      <c r="J7" s="293"/>
      <c r="K7" s="293"/>
      <c r="L7" s="293"/>
      <c r="M7" s="298">
        <v>7351621</v>
      </c>
      <c r="N7" s="298">
        <v>5405216</v>
      </c>
      <c r="O7" s="298">
        <v>5515016</v>
      </c>
      <c r="P7" s="298">
        <v>4548246</v>
      </c>
      <c r="Q7" s="300">
        <v>5289196</v>
      </c>
    </row>
    <row r="8" spans="1:17" ht="15.75">
      <c r="A8" s="72" t="s">
        <v>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301"/>
    </row>
    <row r="9" spans="1:17" ht="15.75">
      <c r="A9" s="191" t="s">
        <v>486</v>
      </c>
      <c r="B9" s="292"/>
      <c r="C9" s="174" t="e">
        <f>#REF!</f>
        <v>#REF!</v>
      </c>
      <c r="D9" s="174" t="e">
        <f>#REF!</f>
        <v>#REF!</v>
      </c>
      <c r="E9" s="174" t="e">
        <f>#REF!</f>
        <v>#REF!</v>
      </c>
      <c r="F9" s="174" t="e">
        <f>#REF!</f>
        <v>#REF!</v>
      </c>
      <c r="G9" s="174" t="e">
        <f>#REF!</f>
        <v>#REF!</v>
      </c>
      <c r="H9" s="174">
        <f>'[4]Fund Summary'!P50</f>
        <v>2743508</v>
      </c>
      <c r="I9" s="174"/>
      <c r="J9" s="174"/>
      <c r="K9" s="174"/>
      <c r="L9" s="174"/>
      <c r="M9" s="211">
        <v>6580300</v>
      </c>
      <c r="N9" s="211">
        <v>6933600</v>
      </c>
      <c r="O9" s="211">
        <v>7326400</v>
      </c>
      <c r="P9" s="211">
        <v>7773400</v>
      </c>
      <c r="Q9" s="217">
        <v>8232700</v>
      </c>
    </row>
    <row r="10" spans="1:17" ht="15.75">
      <c r="A10" s="313" t="s">
        <v>491</v>
      </c>
      <c r="B10" s="292"/>
      <c r="C10" s="294">
        <v>1510598</v>
      </c>
      <c r="D10" s="104">
        <v>1083944</v>
      </c>
      <c r="E10" s="104">
        <v>974747</v>
      </c>
      <c r="F10" s="104" t="e">
        <f>#REF!</f>
        <v>#REF!</v>
      </c>
      <c r="G10" s="104" t="e">
        <f>#REF!</f>
        <v>#REF!</v>
      </c>
      <c r="H10" s="104">
        <f>'[4]Fund Summary'!P12</f>
        <v>652983</v>
      </c>
      <c r="I10" s="104"/>
      <c r="J10" s="104"/>
      <c r="K10" s="104"/>
      <c r="L10" s="104"/>
      <c r="M10" s="104"/>
      <c r="N10" s="104"/>
      <c r="O10" s="104"/>
      <c r="P10" s="104"/>
      <c r="Q10" s="109"/>
    </row>
    <row r="11" spans="1:17" ht="15.75">
      <c r="A11" s="191" t="s">
        <v>492</v>
      </c>
      <c r="B11" s="292"/>
      <c r="C11" s="294">
        <v>0</v>
      </c>
      <c r="D11" s="104">
        <v>0</v>
      </c>
      <c r="E11" s="104">
        <v>0</v>
      </c>
      <c r="F11" s="104" t="e">
        <f>#REF!</f>
        <v>#REF!</v>
      </c>
      <c r="G11" s="104" t="e">
        <f>#REF!</f>
        <v>#REF!</v>
      </c>
      <c r="H11" s="104" t="e">
        <f>#REF!</f>
        <v>#REF!</v>
      </c>
      <c r="I11" s="104"/>
      <c r="J11" s="104"/>
      <c r="K11" s="104"/>
      <c r="L11" s="104"/>
      <c r="M11" s="104">
        <v>25000</v>
      </c>
      <c r="N11" s="104">
        <v>15000</v>
      </c>
      <c r="O11" s="104">
        <v>15000</v>
      </c>
      <c r="P11" s="104">
        <v>15000</v>
      </c>
      <c r="Q11" s="109">
        <v>15000</v>
      </c>
    </row>
    <row r="12" spans="1:17" ht="15.75">
      <c r="A12" s="73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5"/>
      <c r="N12" s="295"/>
      <c r="O12" s="295"/>
      <c r="P12" s="295"/>
      <c r="Q12" s="302"/>
    </row>
    <row r="13" spans="1:17" ht="20.25">
      <c r="A13" s="193" t="s">
        <v>4</v>
      </c>
      <c r="B13" s="180">
        <f>SUM(B9:B11)</f>
        <v>0</v>
      </c>
      <c r="C13" s="180" t="e">
        <f>SUM(C9:C11)</f>
        <v>#REF!</v>
      </c>
      <c r="D13" s="180" t="e">
        <f>SUM(D9:D11)</f>
        <v>#REF!</v>
      </c>
      <c r="E13" s="180" t="e">
        <f>SUM(E9:E11)</f>
        <v>#REF!</v>
      </c>
      <c r="F13" s="180" t="e">
        <f>SUM(F9:F11)</f>
        <v>#REF!</v>
      </c>
      <c r="G13" s="180" t="e">
        <f>SUM(G9:G12)</f>
        <v>#REF!</v>
      </c>
      <c r="H13" s="180" t="e">
        <f>SUM(H9:H11)</f>
        <v>#REF!</v>
      </c>
      <c r="I13" s="180"/>
      <c r="J13" s="180"/>
      <c r="K13" s="180"/>
      <c r="L13" s="180"/>
      <c r="M13" s="181">
        <f>SUM(M9:M11)</f>
        <v>6605300</v>
      </c>
      <c r="N13" s="181">
        <f>SUM(N9:N11)</f>
        <v>6948600</v>
      </c>
      <c r="O13" s="181">
        <f>SUM(O9:O11)</f>
        <v>7341400</v>
      </c>
      <c r="P13" s="181">
        <f>SUM(P9:P11)</f>
        <v>7788400</v>
      </c>
      <c r="Q13" s="194">
        <f>SUM(Q9:Q12)</f>
        <v>8247700</v>
      </c>
    </row>
    <row r="14" spans="1:17" ht="15.75">
      <c r="A14" s="72" t="s">
        <v>487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9"/>
    </row>
    <row r="15" spans="1:17" ht="15.75">
      <c r="A15" s="73" t="s">
        <v>490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>
        <v>6694705</v>
      </c>
      <c r="N15" s="104">
        <v>6958800</v>
      </c>
      <c r="O15" s="104">
        <v>7303170</v>
      </c>
      <c r="P15" s="104">
        <v>7667450</v>
      </c>
      <c r="Q15" s="109">
        <v>8059870</v>
      </c>
    </row>
    <row r="16" spans="1:18" ht="15.75">
      <c r="A16" s="303" t="s">
        <v>416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P16" s="138"/>
      <c r="Q16" s="139"/>
      <c r="R16" s="138"/>
    </row>
    <row r="17" spans="1:18" ht="15.75">
      <c r="A17" s="137" t="s">
        <v>493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>
        <v>165000</v>
      </c>
      <c r="N17" s="174"/>
      <c r="O17" s="174"/>
      <c r="P17" s="138"/>
      <c r="Q17" s="139"/>
      <c r="R17" s="138"/>
    </row>
    <row r="18" spans="1:18" ht="15.75">
      <c r="A18" s="137" t="s">
        <v>494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>
        <v>130000</v>
      </c>
      <c r="N18" s="174"/>
      <c r="O18" s="174"/>
      <c r="P18" s="138"/>
      <c r="Q18" s="139"/>
      <c r="R18" s="138"/>
    </row>
    <row r="19" spans="1:18" ht="15.75">
      <c r="A19" s="137" t="s">
        <v>495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>
        <v>70000</v>
      </c>
      <c r="N19" s="211"/>
      <c r="O19" s="174"/>
      <c r="P19" s="138"/>
      <c r="Q19" s="139"/>
      <c r="R19" s="138"/>
    </row>
    <row r="20" spans="1:18" ht="15.75">
      <c r="A20" s="314" t="s">
        <v>423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11">
        <v>60000</v>
      </c>
      <c r="O20" s="211">
        <v>60000</v>
      </c>
      <c r="P20" s="138">
        <v>60000</v>
      </c>
      <c r="Q20" s="139">
        <v>60000</v>
      </c>
      <c r="R20" s="138"/>
    </row>
    <row r="21" spans="1:18" ht="15.75">
      <c r="A21" s="197" t="s">
        <v>496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>
        <v>45000</v>
      </c>
      <c r="N21" s="211"/>
      <c r="O21" s="174"/>
      <c r="P21" s="138"/>
      <c r="Q21" s="139"/>
      <c r="R21" s="138"/>
    </row>
    <row r="22" spans="1:18" ht="15.75">
      <c r="A22" s="314" t="s">
        <v>578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>
        <v>20000</v>
      </c>
      <c r="N22" s="211"/>
      <c r="O22" s="174"/>
      <c r="P22" s="138"/>
      <c r="Q22" s="139"/>
      <c r="R22" s="138"/>
    </row>
    <row r="23" spans="1:18" ht="15.75">
      <c r="A23" s="314" t="s">
        <v>577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>
        <v>30000</v>
      </c>
      <c r="N23" s="211"/>
      <c r="O23" s="174"/>
      <c r="P23" s="138"/>
      <c r="Q23" s="139"/>
      <c r="R23" s="138"/>
    </row>
    <row r="24" spans="1:18" ht="15.75">
      <c r="A24" s="314" t="s">
        <v>497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>
        <v>250000</v>
      </c>
      <c r="N24" s="211"/>
      <c r="O24" s="174"/>
      <c r="P24" s="138"/>
      <c r="Q24" s="139"/>
      <c r="R24" s="138"/>
    </row>
    <row r="25" spans="1:18" ht="15.75">
      <c r="A25" s="314" t="s">
        <v>498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74"/>
      <c r="N25" s="211">
        <v>200000</v>
      </c>
      <c r="O25" s="174"/>
      <c r="P25" s="138"/>
      <c r="Q25" s="139"/>
      <c r="R25" s="138"/>
    </row>
    <row r="26" spans="1:18" ht="15.75">
      <c r="A26" s="303" t="s">
        <v>426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211"/>
      <c r="O26" s="104"/>
      <c r="P26" s="138"/>
      <c r="Q26" s="139"/>
      <c r="R26" s="138"/>
    </row>
    <row r="27" spans="1:18" ht="15.75">
      <c r="A27" s="197" t="s">
        <v>499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>
        <v>400000</v>
      </c>
      <c r="N27" s="104">
        <v>400000</v>
      </c>
      <c r="O27" s="104">
        <v>400000</v>
      </c>
      <c r="P27" s="138">
        <v>400000</v>
      </c>
      <c r="Q27" s="139">
        <v>400000</v>
      </c>
      <c r="R27" s="138"/>
    </row>
    <row r="28" spans="1:18" ht="15.75">
      <c r="A28" s="305" t="s">
        <v>576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38"/>
      <c r="Q28" s="139"/>
      <c r="R28" s="138"/>
    </row>
    <row r="29" spans="1:18" ht="15.75">
      <c r="A29" s="197" t="s">
        <v>582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38"/>
      <c r="Q29" s="139"/>
      <c r="R29" s="138"/>
    </row>
    <row r="30" spans="1:18" ht="15.75">
      <c r="A30" s="197" t="s">
        <v>501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>
        <v>24000</v>
      </c>
      <c r="N30" s="104">
        <v>350000</v>
      </c>
      <c r="O30" s="104"/>
      <c r="P30" s="138"/>
      <c r="Q30" s="139"/>
      <c r="R30" s="138"/>
    </row>
    <row r="31" spans="1:18" ht="15.75">
      <c r="A31" s="197" t="s">
        <v>502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>
        <v>24000</v>
      </c>
      <c r="N31" s="104"/>
      <c r="O31" s="104">
        <v>125000</v>
      </c>
      <c r="P31" s="138"/>
      <c r="Q31" s="139"/>
      <c r="R31" s="138"/>
    </row>
    <row r="32" spans="1:18" ht="15.75">
      <c r="A32" s="197" t="s">
        <v>503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>
        <v>24000</v>
      </c>
      <c r="N32" s="104"/>
      <c r="O32" s="104">
        <v>125000</v>
      </c>
      <c r="P32" s="138"/>
      <c r="Q32" s="139"/>
      <c r="R32" s="138"/>
    </row>
    <row r="33" spans="1:18" ht="15.75">
      <c r="A33" s="197" t="s">
        <v>504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>
        <v>24000</v>
      </c>
      <c r="N33" s="104"/>
      <c r="O33" s="104">
        <v>125000</v>
      </c>
      <c r="P33" s="138"/>
      <c r="Q33" s="139"/>
      <c r="R33" s="138"/>
    </row>
    <row r="34" spans="1:18" ht="15.75">
      <c r="A34" s="197" t="s">
        <v>505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>
        <v>137000</v>
      </c>
      <c r="N34" s="104"/>
      <c r="O34" s="104"/>
      <c r="P34" s="138"/>
      <c r="Q34" s="139"/>
      <c r="R34" s="138"/>
    </row>
    <row r="35" spans="1:18" ht="15.75">
      <c r="A35" s="197" t="s">
        <v>574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>
        <v>4000</v>
      </c>
      <c r="N35" s="104"/>
      <c r="O35" s="104">
        <v>125000</v>
      </c>
      <c r="P35" s="138"/>
      <c r="Q35" s="139"/>
      <c r="R35" s="138"/>
    </row>
    <row r="36" spans="1:18" ht="15.75">
      <c r="A36" s="197" t="s">
        <v>506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>
        <v>24000</v>
      </c>
      <c r="N36" s="104"/>
      <c r="O36" s="104">
        <v>125000</v>
      </c>
      <c r="P36" s="138"/>
      <c r="Q36" s="139"/>
      <c r="R36" s="138"/>
    </row>
    <row r="37" spans="1:18" ht="15.75">
      <c r="A37" s="197" t="s">
        <v>507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>
        <v>24000</v>
      </c>
      <c r="N37" s="104"/>
      <c r="O37" s="104">
        <v>125000</v>
      </c>
      <c r="P37" s="138"/>
      <c r="Q37" s="139"/>
      <c r="R37" s="138"/>
    </row>
    <row r="38" spans="1:18" ht="15.75">
      <c r="A38" s="197" t="s">
        <v>508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>
        <v>24000</v>
      </c>
      <c r="N38" s="104"/>
      <c r="O38" s="104">
        <v>125000</v>
      </c>
      <c r="P38" s="138"/>
      <c r="Q38" s="139"/>
      <c r="R38" s="138"/>
    </row>
    <row r="39" spans="1:18" ht="15.75">
      <c r="A39" s="197" t="s">
        <v>570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>
        <v>137000</v>
      </c>
      <c r="N39" s="104"/>
      <c r="O39" s="104"/>
      <c r="P39" s="138"/>
      <c r="Q39" s="139"/>
      <c r="R39" s="138"/>
    </row>
    <row r="40" spans="1:18" ht="15.75">
      <c r="A40" s="197" t="s">
        <v>573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>
        <v>4000</v>
      </c>
      <c r="N40" s="104"/>
      <c r="O40" s="104"/>
      <c r="P40" s="138"/>
      <c r="Q40" s="139"/>
      <c r="R40" s="138"/>
    </row>
    <row r="41" spans="1:18" ht="15.75">
      <c r="A41" s="197" t="s">
        <v>509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>
        <v>24000</v>
      </c>
      <c r="N41" s="104"/>
      <c r="O41" s="104">
        <v>125000</v>
      </c>
      <c r="P41" s="138"/>
      <c r="Q41" s="139"/>
      <c r="R41" s="138"/>
    </row>
    <row r="42" spans="1:18" ht="15.75">
      <c r="A42" s="197" t="s">
        <v>510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>
        <v>24000</v>
      </c>
      <c r="N42" s="104"/>
      <c r="O42" s="104">
        <v>125000</v>
      </c>
      <c r="P42" s="138"/>
      <c r="Q42" s="139"/>
      <c r="R42" s="138"/>
    </row>
    <row r="43" spans="1:18" ht="15.75">
      <c r="A43" s="197" t="s">
        <v>571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04">
        <v>85000</v>
      </c>
      <c r="N43" s="104"/>
      <c r="O43" s="104"/>
      <c r="P43" s="138"/>
      <c r="Q43" s="139"/>
      <c r="R43" s="138"/>
    </row>
    <row r="44" spans="1:18" ht="15.75">
      <c r="A44" s="197" t="s">
        <v>572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04">
        <v>4000</v>
      </c>
      <c r="N44" s="104"/>
      <c r="O44" s="104"/>
      <c r="P44" s="138"/>
      <c r="Q44" s="139"/>
      <c r="R44" s="138"/>
    </row>
    <row r="45" spans="1:18" ht="15.75">
      <c r="A45" s="197" t="s">
        <v>511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04">
        <v>137000</v>
      </c>
      <c r="N45" s="104"/>
      <c r="O45" s="104"/>
      <c r="P45" s="138"/>
      <c r="Q45" s="139"/>
      <c r="R45" s="138"/>
    </row>
    <row r="46" spans="1:18" ht="15.75">
      <c r="A46" s="197" t="s">
        <v>512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04">
        <v>137000</v>
      </c>
      <c r="N46" s="104"/>
      <c r="O46" s="104"/>
      <c r="P46" s="138"/>
      <c r="Q46" s="139"/>
      <c r="R46" s="138"/>
    </row>
    <row r="47" spans="1:18" ht="15.75">
      <c r="A47" s="197" t="s">
        <v>575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04">
        <v>157000</v>
      </c>
      <c r="N47" s="104"/>
      <c r="O47" s="104"/>
      <c r="P47" s="138"/>
      <c r="Q47" s="139"/>
      <c r="R47" s="138"/>
    </row>
    <row r="48" spans="1:18" ht="15.75">
      <c r="A48" s="197" t="s">
        <v>513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04">
        <v>137000</v>
      </c>
      <c r="N48" s="104"/>
      <c r="O48" s="104"/>
      <c r="P48" s="138"/>
      <c r="Q48" s="139"/>
      <c r="R48" s="138"/>
    </row>
    <row r="49" spans="1:18" ht="15.75">
      <c r="A49" s="197" t="s">
        <v>500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04">
        <v>137000</v>
      </c>
      <c r="N49" s="104"/>
      <c r="O49" s="104"/>
      <c r="P49" s="138"/>
      <c r="Q49" s="139"/>
      <c r="R49" s="138"/>
    </row>
    <row r="50" spans="1:18" ht="15.75">
      <c r="A50" s="197" t="s">
        <v>514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04">
        <v>137000</v>
      </c>
      <c r="N50" s="104"/>
      <c r="O50" s="104"/>
      <c r="P50" s="138"/>
      <c r="Q50" s="139"/>
      <c r="R50" s="138"/>
    </row>
    <row r="51" spans="1:18" ht="15.75">
      <c r="A51" s="197" t="s">
        <v>515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04">
        <v>137000</v>
      </c>
      <c r="N51" s="104"/>
      <c r="O51" s="104"/>
      <c r="P51" s="138"/>
      <c r="Q51" s="139"/>
      <c r="R51" s="138"/>
    </row>
    <row r="52" spans="1:18" ht="15.75">
      <c r="A52" s="197" t="s">
        <v>516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04">
        <v>24000</v>
      </c>
      <c r="N52" s="104"/>
      <c r="O52" s="104">
        <v>125000</v>
      </c>
      <c r="P52" s="138"/>
      <c r="Q52" s="139"/>
      <c r="R52" s="138"/>
    </row>
    <row r="53" spans="1:18" ht="15.75">
      <c r="A53" s="197" t="s">
        <v>517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04">
        <v>24000</v>
      </c>
      <c r="N53" s="104"/>
      <c r="O53" s="104">
        <v>125000</v>
      </c>
      <c r="P53" s="138"/>
      <c r="Q53" s="139"/>
      <c r="R53" s="138"/>
    </row>
    <row r="54" spans="1:18" ht="15.75">
      <c r="A54" s="197" t="s">
        <v>579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>
        <v>85000</v>
      </c>
      <c r="N54" s="104"/>
      <c r="O54" s="104"/>
      <c r="P54" s="138"/>
      <c r="Q54" s="139"/>
      <c r="R54" s="138"/>
    </row>
    <row r="55" spans="1:18" ht="15.75">
      <c r="A55" s="197" t="s">
        <v>580</v>
      </c>
      <c r="B55" s="294"/>
      <c r="C55" s="294"/>
      <c r="D55" s="294"/>
      <c r="E55" s="294"/>
      <c r="F55" s="104"/>
      <c r="G55" s="104"/>
      <c r="H55" s="104"/>
      <c r="I55" s="104"/>
      <c r="J55" s="104"/>
      <c r="K55" s="104"/>
      <c r="L55" s="104"/>
      <c r="M55" s="104">
        <v>85000</v>
      </c>
      <c r="N55" s="104"/>
      <c r="O55" s="104"/>
      <c r="P55" s="138"/>
      <c r="Q55" s="139"/>
      <c r="R55" s="138"/>
    </row>
    <row r="56" spans="1:18" ht="15.75">
      <c r="A56" s="197" t="s">
        <v>518</v>
      </c>
      <c r="B56" s="294"/>
      <c r="C56" s="294"/>
      <c r="D56" s="294"/>
      <c r="E56" s="294"/>
      <c r="F56" s="104"/>
      <c r="G56" s="104"/>
      <c r="H56" s="104"/>
      <c r="I56" s="104"/>
      <c r="J56" s="104"/>
      <c r="K56" s="104"/>
      <c r="L56" s="104"/>
      <c r="M56" s="104">
        <v>24000</v>
      </c>
      <c r="N56" s="104"/>
      <c r="O56" s="104">
        <v>125000</v>
      </c>
      <c r="P56" s="138"/>
      <c r="Q56" s="139"/>
      <c r="R56" s="138"/>
    </row>
    <row r="57" spans="1:18" ht="15.75">
      <c r="A57" s="197" t="s">
        <v>519</v>
      </c>
      <c r="B57" s="294"/>
      <c r="C57" s="294"/>
      <c r="D57" s="294"/>
      <c r="E57" s="294"/>
      <c r="F57" s="104"/>
      <c r="G57" s="104"/>
      <c r="H57" s="104"/>
      <c r="I57" s="104"/>
      <c r="J57" s="104"/>
      <c r="K57" s="104"/>
      <c r="L57" s="104"/>
      <c r="M57" s="104">
        <v>24000</v>
      </c>
      <c r="N57" s="104"/>
      <c r="O57" s="104">
        <v>125000</v>
      </c>
      <c r="P57" s="138"/>
      <c r="Q57" s="139"/>
      <c r="R57" s="138"/>
    </row>
    <row r="58" spans="1:18" ht="15.75">
      <c r="A58" s="305" t="s">
        <v>581</v>
      </c>
      <c r="B58" s="294"/>
      <c r="C58" s="294"/>
      <c r="D58" s="294"/>
      <c r="E58" s="294"/>
      <c r="F58" s="104"/>
      <c r="G58" s="104"/>
      <c r="H58" s="297"/>
      <c r="I58" s="297"/>
      <c r="J58" s="104"/>
      <c r="K58" s="104"/>
      <c r="L58" s="104"/>
      <c r="M58" s="104"/>
      <c r="N58" s="104"/>
      <c r="O58" s="104"/>
      <c r="P58" s="138"/>
      <c r="Q58" s="139"/>
      <c r="R58" s="138"/>
    </row>
    <row r="59" spans="1:18" ht="15.75">
      <c r="A59" s="197" t="s">
        <v>477</v>
      </c>
      <c r="B59" s="294"/>
      <c r="C59" s="294"/>
      <c r="D59" s="294"/>
      <c r="E59" s="294"/>
      <c r="F59" s="104"/>
      <c r="G59" s="104"/>
      <c r="H59" s="297"/>
      <c r="I59" s="297"/>
      <c r="J59" s="104"/>
      <c r="K59" s="104"/>
      <c r="L59" s="104"/>
      <c r="M59" s="104">
        <v>150000</v>
      </c>
      <c r="N59" s="104"/>
      <c r="O59" s="104"/>
      <c r="P59" s="138"/>
      <c r="Q59" s="139"/>
      <c r="R59" s="138"/>
    </row>
    <row r="60" spans="1:18" ht="15.75">
      <c r="A60" s="197" t="s">
        <v>478</v>
      </c>
      <c r="B60" s="294"/>
      <c r="C60" s="294"/>
      <c r="D60" s="294"/>
      <c r="E60" s="294"/>
      <c r="F60" s="104"/>
      <c r="G60" s="104"/>
      <c r="H60" s="104"/>
      <c r="I60" s="104"/>
      <c r="J60" s="104"/>
      <c r="K60" s="104"/>
      <c r="L60" s="104"/>
      <c r="M60" s="104"/>
      <c r="N60" s="104">
        <v>150000</v>
      </c>
      <c r="O60" s="104"/>
      <c r="P60" s="138"/>
      <c r="Q60" s="139"/>
      <c r="R60" s="138"/>
    </row>
    <row r="61" spans="1:18" ht="15.75">
      <c r="A61" s="197" t="s">
        <v>479</v>
      </c>
      <c r="B61" s="294"/>
      <c r="C61" s="294"/>
      <c r="D61" s="294"/>
      <c r="E61" s="294"/>
      <c r="F61" s="104"/>
      <c r="G61" s="104"/>
      <c r="H61" s="104"/>
      <c r="I61" s="104"/>
      <c r="J61" s="104"/>
      <c r="K61" s="104"/>
      <c r="L61" s="104"/>
      <c r="M61" s="104"/>
      <c r="N61" s="104"/>
      <c r="O61" s="104">
        <v>250000</v>
      </c>
      <c r="P61" s="138"/>
      <c r="Q61" s="139"/>
      <c r="R61" s="138"/>
    </row>
    <row r="62" spans="1:18" ht="15.75">
      <c r="A62" s="197" t="s">
        <v>480</v>
      </c>
      <c r="B62" s="294"/>
      <c r="C62" s="294"/>
      <c r="D62" s="294"/>
      <c r="E62" s="29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38">
        <v>300000</v>
      </c>
      <c r="Q62" s="139"/>
      <c r="R62" s="138"/>
    </row>
    <row r="63" spans="1:18" ht="15.75" hidden="1">
      <c r="A63" s="73"/>
      <c r="B63" s="294"/>
      <c r="C63" s="294"/>
      <c r="D63" s="294"/>
      <c r="E63" s="29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38"/>
      <c r="Q63" s="139"/>
      <c r="R63" s="138"/>
    </row>
    <row r="64" spans="1:18" ht="15.75" hidden="1">
      <c r="A64" s="73"/>
      <c r="B64" s="294"/>
      <c r="C64" s="294"/>
      <c r="D64" s="294"/>
      <c r="E64" s="294"/>
      <c r="F64" s="104"/>
      <c r="G64" s="104"/>
      <c r="H64" s="297"/>
      <c r="I64" s="297"/>
      <c r="J64" s="104"/>
      <c r="K64" s="104"/>
      <c r="L64" s="104"/>
      <c r="M64" s="104"/>
      <c r="N64" s="104"/>
      <c r="O64" s="104"/>
      <c r="P64" s="138"/>
      <c r="Q64" s="139"/>
      <c r="R64" s="138"/>
    </row>
    <row r="65" spans="1:18" ht="15.75" hidden="1">
      <c r="A65" s="73" t="s">
        <v>520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294"/>
      <c r="O65" s="104"/>
      <c r="P65" s="138"/>
      <c r="Q65" s="139"/>
      <c r="R65" s="138"/>
    </row>
    <row r="66" spans="1:18" ht="15.75" hidden="1">
      <c r="A66" s="197" t="s">
        <v>476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38"/>
      <c r="Q66" s="139"/>
      <c r="R66" s="138"/>
    </row>
    <row r="67" spans="1:18" ht="15.75" hidden="1">
      <c r="A67" s="197" t="s">
        <v>521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>
        <v>0</v>
      </c>
      <c r="N67" s="104"/>
      <c r="O67" s="104"/>
      <c r="P67" s="138"/>
      <c r="Q67" s="139"/>
      <c r="R67" s="138"/>
    </row>
    <row r="68" spans="1:18" ht="15.75" hidden="1">
      <c r="A68" s="197" t="s">
        <v>522</v>
      </c>
      <c r="B68" s="294"/>
      <c r="C68" s="294"/>
      <c r="D68" s="294"/>
      <c r="E68" s="29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38"/>
      <c r="Q68" s="139"/>
      <c r="R68" s="138"/>
    </row>
    <row r="69" spans="1:18" ht="15.75" hidden="1">
      <c r="A69" s="197" t="s">
        <v>523</v>
      </c>
      <c r="B69" s="294"/>
      <c r="C69" s="294"/>
      <c r="D69" s="294"/>
      <c r="E69" s="29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38"/>
      <c r="Q69" s="139"/>
      <c r="R69" s="138"/>
    </row>
    <row r="70" spans="1:18" ht="15.75" hidden="1">
      <c r="A70" s="197" t="s">
        <v>524</v>
      </c>
      <c r="B70" s="294"/>
      <c r="C70" s="294"/>
      <c r="D70" s="294"/>
      <c r="E70" s="29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38"/>
      <c r="Q70" s="139"/>
      <c r="R70" s="138"/>
    </row>
    <row r="71" spans="1:18" ht="15.75" hidden="1">
      <c r="A71" s="197" t="s">
        <v>525</v>
      </c>
      <c r="B71" s="294"/>
      <c r="C71" s="294"/>
      <c r="D71" s="294"/>
      <c r="E71" s="294"/>
      <c r="F71" s="294"/>
      <c r="G71" s="104"/>
      <c r="H71" s="294"/>
      <c r="I71" s="294"/>
      <c r="J71" s="294"/>
      <c r="K71" s="294"/>
      <c r="L71" s="294"/>
      <c r="M71" s="104"/>
      <c r="N71" s="104"/>
      <c r="O71" s="104"/>
      <c r="P71" s="138"/>
      <c r="Q71" s="139"/>
      <c r="R71" s="138"/>
    </row>
    <row r="72" spans="1:18" ht="15.75" hidden="1">
      <c r="A72" s="315" t="s">
        <v>526</v>
      </c>
      <c r="B72" s="294"/>
      <c r="C72" s="294"/>
      <c r="D72" s="294"/>
      <c r="E72" s="294"/>
      <c r="F72" s="294"/>
      <c r="G72" s="104"/>
      <c r="H72" s="294"/>
      <c r="I72" s="294"/>
      <c r="J72" s="294"/>
      <c r="K72" s="294"/>
      <c r="L72" s="294"/>
      <c r="M72" s="104"/>
      <c r="N72" s="104"/>
      <c r="O72" s="104"/>
      <c r="P72" s="138"/>
      <c r="Q72" s="139"/>
      <c r="R72" s="138"/>
    </row>
    <row r="73" spans="1:18" ht="15.75" hidden="1">
      <c r="A73" s="315" t="s">
        <v>527</v>
      </c>
      <c r="B73" s="294"/>
      <c r="C73" s="294"/>
      <c r="D73" s="294"/>
      <c r="E73" s="294"/>
      <c r="F73" s="294"/>
      <c r="G73" s="104"/>
      <c r="H73" s="294"/>
      <c r="I73" s="294"/>
      <c r="J73" s="294"/>
      <c r="K73" s="294"/>
      <c r="L73" s="294"/>
      <c r="M73" s="104"/>
      <c r="N73" s="104"/>
      <c r="O73" s="104"/>
      <c r="P73" s="138"/>
      <c r="Q73" s="139"/>
      <c r="R73" s="138"/>
    </row>
    <row r="74" spans="1:18" ht="15.75" hidden="1">
      <c r="A74" s="315" t="s">
        <v>528</v>
      </c>
      <c r="B74" s="294"/>
      <c r="C74" s="294"/>
      <c r="D74" s="294"/>
      <c r="E74" s="294"/>
      <c r="F74" s="294"/>
      <c r="G74" s="104"/>
      <c r="H74" s="294"/>
      <c r="I74" s="294"/>
      <c r="J74" s="294"/>
      <c r="K74" s="294"/>
      <c r="L74" s="294"/>
      <c r="M74" s="104"/>
      <c r="N74" s="104"/>
      <c r="O74" s="104"/>
      <c r="P74" s="138"/>
      <c r="Q74" s="139"/>
      <c r="R74" s="138"/>
    </row>
    <row r="75" spans="1:18" ht="15.75" hidden="1">
      <c r="A75" s="315" t="s">
        <v>529</v>
      </c>
      <c r="B75" s="294"/>
      <c r="C75" s="294"/>
      <c r="D75" s="294"/>
      <c r="E75" s="294"/>
      <c r="F75" s="294"/>
      <c r="G75" s="104"/>
      <c r="H75" s="294"/>
      <c r="I75" s="294"/>
      <c r="J75" s="294"/>
      <c r="K75" s="294"/>
      <c r="L75" s="294"/>
      <c r="M75" s="104"/>
      <c r="N75" s="104"/>
      <c r="O75" s="104"/>
      <c r="P75" s="138"/>
      <c r="Q75" s="139"/>
      <c r="R75" s="138"/>
    </row>
    <row r="76" spans="1:18" ht="15.75" hidden="1">
      <c r="A76" s="304" t="s">
        <v>530</v>
      </c>
      <c r="B76" s="294"/>
      <c r="C76" s="294"/>
      <c r="D76" s="294"/>
      <c r="E76" s="294"/>
      <c r="F76" s="294"/>
      <c r="G76" s="104"/>
      <c r="H76" s="294"/>
      <c r="I76" s="294"/>
      <c r="J76" s="294"/>
      <c r="K76" s="294"/>
      <c r="L76" s="294"/>
      <c r="M76" s="104"/>
      <c r="N76" s="104"/>
      <c r="O76" s="104"/>
      <c r="P76" s="138"/>
      <c r="Q76" s="139"/>
      <c r="R76" s="138"/>
    </row>
    <row r="77" spans="1:18" ht="15.75" hidden="1">
      <c r="A77" s="304" t="s">
        <v>531</v>
      </c>
      <c r="B77" s="294"/>
      <c r="C77" s="294"/>
      <c r="D77" s="294"/>
      <c r="E77" s="294"/>
      <c r="F77" s="294"/>
      <c r="G77" s="104"/>
      <c r="H77" s="294"/>
      <c r="I77" s="294"/>
      <c r="J77" s="294"/>
      <c r="K77" s="294"/>
      <c r="L77" s="294"/>
      <c r="N77" s="104"/>
      <c r="O77" s="104"/>
      <c r="P77" s="138"/>
      <c r="Q77" s="139"/>
      <c r="R77" s="138"/>
    </row>
    <row r="78" spans="1:18" ht="15.75" hidden="1">
      <c r="A78" s="315" t="s">
        <v>532</v>
      </c>
      <c r="B78" s="294"/>
      <c r="C78" s="294"/>
      <c r="D78" s="294"/>
      <c r="E78" s="294"/>
      <c r="F78" s="294"/>
      <c r="G78" s="104"/>
      <c r="H78" s="294"/>
      <c r="I78" s="294"/>
      <c r="J78" s="294"/>
      <c r="K78" s="294"/>
      <c r="L78" s="294"/>
      <c r="N78" s="104"/>
      <c r="O78" s="104"/>
      <c r="P78" s="138"/>
      <c r="Q78" s="139"/>
      <c r="R78" s="138"/>
    </row>
    <row r="79" spans="1:18" ht="15.75" hidden="1">
      <c r="A79" s="315" t="s">
        <v>533</v>
      </c>
      <c r="B79" s="294"/>
      <c r="C79" s="294"/>
      <c r="D79" s="294"/>
      <c r="E79" s="294"/>
      <c r="F79" s="294"/>
      <c r="G79" s="104"/>
      <c r="H79" s="294"/>
      <c r="I79" s="294"/>
      <c r="J79" s="294"/>
      <c r="K79" s="294"/>
      <c r="L79" s="294"/>
      <c r="M79" s="104"/>
      <c r="N79" s="104"/>
      <c r="O79" s="104"/>
      <c r="P79" s="138"/>
      <c r="Q79" s="139"/>
      <c r="R79" s="138"/>
    </row>
    <row r="80" spans="1:18" ht="15.75" hidden="1">
      <c r="A80" s="315" t="s">
        <v>534</v>
      </c>
      <c r="B80" s="294"/>
      <c r="C80" s="294"/>
      <c r="D80" s="294"/>
      <c r="E80" s="294"/>
      <c r="F80" s="294"/>
      <c r="G80" s="104"/>
      <c r="H80" s="294"/>
      <c r="I80" s="294"/>
      <c r="J80" s="294"/>
      <c r="K80" s="294"/>
      <c r="L80" s="294"/>
      <c r="M80" s="104"/>
      <c r="N80" s="104"/>
      <c r="O80" s="104"/>
      <c r="P80" s="138"/>
      <c r="Q80" s="139"/>
      <c r="R80" s="138"/>
    </row>
    <row r="81" spans="1:18" ht="15.75" hidden="1">
      <c r="A81" s="304" t="s">
        <v>535</v>
      </c>
      <c r="B81" s="294"/>
      <c r="C81" s="294"/>
      <c r="D81" s="294"/>
      <c r="E81" s="294"/>
      <c r="F81" s="294"/>
      <c r="G81" s="104"/>
      <c r="H81" s="294"/>
      <c r="I81" s="294"/>
      <c r="J81" s="294"/>
      <c r="K81" s="294"/>
      <c r="L81" s="294"/>
      <c r="M81" s="104"/>
      <c r="N81" s="104"/>
      <c r="O81" s="104"/>
      <c r="P81" s="138"/>
      <c r="Q81" s="139"/>
      <c r="R81" s="138"/>
    </row>
    <row r="82" spans="1:18" ht="15.75" hidden="1">
      <c r="A82" s="315" t="s">
        <v>536</v>
      </c>
      <c r="B82" s="294"/>
      <c r="C82" s="294"/>
      <c r="D82" s="294"/>
      <c r="E82" s="294"/>
      <c r="F82" s="294"/>
      <c r="G82" s="104"/>
      <c r="H82" s="294"/>
      <c r="I82" s="294"/>
      <c r="J82" s="294"/>
      <c r="K82" s="294"/>
      <c r="L82" s="294"/>
      <c r="M82" s="104"/>
      <c r="N82" s="104"/>
      <c r="O82" s="104"/>
      <c r="P82" s="138"/>
      <c r="Q82" s="139"/>
      <c r="R82" s="138"/>
    </row>
    <row r="83" spans="1:18" ht="15.75" hidden="1">
      <c r="A83" s="315" t="s">
        <v>537</v>
      </c>
      <c r="B83" s="294"/>
      <c r="C83" s="294"/>
      <c r="D83" s="294"/>
      <c r="E83" s="294"/>
      <c r="F83" s="294"/>
      <c r="G83" s="104"/>
      <c r="H83" s="294"/>
      <c r="I83" s="294"/>
      <c r="J83" s="294"/>
      <c r="K83" s="294"/>
      <c r="L83" s="294"/>
      <c r="M83" s="104"/>
      <c r="N83" s="104"/>
      <c r="O83" s="104"/>
      <c r="P83" s="138"/>
      <c r="Q83" s="139"/>
      <c r="R83" s="138"/>
    </row>
    <row r="84" spans="1:18" ht="15.75" hidden="1">
      <c r="A84" s="315" t="s">
        <v>538</v>
      </c>
      <c r="B84" s="294"/>
      <c r="C84" s="294"/>
      <c r="D84" s="294"/>
      <c r="E84" s="294"/>
      <c r="F84" s="294"/>
      <c r="G84" s="104"/>
      <c r="H84" s="294"/>
      <c r="I84" s="294"/>
      <c r="J84" s="294"/>
      <c r="K84" s="294"/>
      <c r="L84" s="294"/>
      <c r="M84" s="104"/>
      <c r="N84" s="104"/>
      <c r="O84" s="104"/>
      <c r="P84" s="138"/>
      <c r="Q84" s="139"/>
      <c r="R84" s="138"/>
    </row>
    <row r="85" spans="1:18" ht="15.75" hidden="1">
      <c r="A85" s="315" t="s">
        <v>539</v>
      </c>
      <c r="B85" s="294"/>
      <c r="C85" s="294"/>
      <c r="D85" s="294"/>
      <c r="E85" s="294"/>
      <c r="F85" s="294"/>
      <c r="G85" s="104"/>
      <c r="H85" s="294"/>
      <c r="I85" s="294"/>
      <c r="J85" s="294"/>
      <c r="K85" s="294"/>
      <c r="L85" s="294"/>
      <c r="M85" s="104"/>
      <c r="N85" s="104"/>
      <c r="O85" s="104"/>
      <c r="P85" s="138"/>
      <c r="Q85" s="139"/>
      <c r="R85" s="138"/>
    </row>
    <row r="86" spans="1:18" ht="15.75" hidden="1">
      <c r="A86" s="316" t="s">
        <v>540</v>
      </c>
      <c r="B86" s="294"/>
      <c r="C86" s="294"/>
      <c r="D86" s="294"/>
      <c r="E86" s="294"/>
      <c r="F86" s="294"/>
      <c r="G86" s="104"/>
      <c r="H86" s="294"/>
      <c r="I86" s="294"/>
      <c r="J86" s="294"/>
      <c r="K86" s="294"/>
      <c r="L86" s="294"/>
      <c r="M86" s="104"/>
      <c r="N86" s="104"/>
      <c r="O86" s="104"/>
      <c r="P86" s="138"/>
      <c r="Q86" s="139"/>
      <c r="R86" s="138"/>
    </row>
    <row r="87" spans="1:18" ht="15.75" hidden="1">
      <c r="A87" s="316" t="s">
        <v>541</v>
      </c>
      <c r="B87" s="294"/>
      <c r="C87" s="294"/>
      <c r="D87" s="294"/>
      <c r="E87" s="294"/>
      <c r="F87" s="294"/>
      <c r="G87" s="104"/>
      <c r="H87" s="294"/>
      <c r="I87" s="294"/>
      <c r="J87" s="294"/>
      <c r="K87" s="294"/>
      <c r="L87" s="294"/>
      <c r="M87" s="104"/>
      <c r="N87" s="104"/>
      <c r="O87" s="104"/>
      <c r="P87" s="138"/>
      <c r="Q87" s="139"/>
      <c r="R87" s="138"/>
    </row>
    <row r="88" spans="1:18" ht="15.75" hidden="1">
      <c r="A88" s="315" t="s">
        <v>542</v>
      </c>
      <c r="B88" s="294"/>
      <c r="C88" s="294"/>
      <c r="D88" s="294"/>
      <c r="E88" s="294"/>
      <c r="F88" s="294"/>
      <c r="G88" s="104"/>
      <c r="H88" s="294"/>
      <c r="I88" s="294"/>
      <c r="J88" s="294"/>
      <c r="K88" s="294"/>
      <c r="L88" s="294"/>
      <c r="M88" s="104"/>
      <c r="N88" s="104"/>
      <c r="O88" s="104"/>
      <c r="P88" s="138"/>
      <c r="Q88" s="139"/>
      <c r="R88" s="138"/>
    </row>
    <row r="89" spans="1:17" ht="15.75">
      <c r="A89" s="193"/>
      <c r="B89" s="104"/>
      <c r="C89" s="104"/>
      <c r="D89" s="104"/>
      <c r="E89" s="104"/>
      <c r="F89" s="104"/>
      <c r="G89" s="104">
        <v>0</v>
      </c>
      <c r="H89" s="294">
        <f>93600+87300</f>
        <v>180900</v>
      </c>
      <c r="I89" s="294">
        <v>159264</v>
      </c>
      <c r="J89" s="294"/>
      <c r="K89" s="294">
        <f>191695+400000</f>
        <v>591695</v>
      </c>
      <c r="L89" s="294">
        <f>156216+415000</f>
        <v>571216</v>
      </c>
      <c r="Q89" s="143"/>
    </row>
    <row r="90" spans="1:17" ht="20.25">
      <c r="A90" s="193" t="s">
        <v>489</v>
      </c>
      <c r="B90" s="180"/>
      <c r="C90" s="180">
        <f>SUM(C43:C60)</f>
        <v>0</v>
      </c>
      <c r="D90" s="180">
        <f>SUM(D43:D60)</f>
        <v>0</v>
      </c>
      <c r="E90" s="180">
        <f aca="true" t="shared" si="0" ref="E90:L90">SUM(E43:E89)</f>
        <v>0</v>
      </c>
      <c r="F90" s="180">
        <f t="shared" si="0"/>
        <v>0</v>
      </c>
      <c r="G90" s="180">
        <f t="shared" si="0"/>
        <v>0</v>
      </c>
      <c r="H90" s="180">
        <f t="shared" si="0"/>
        <v>180900</v>
      </c>
      <c r="I90" s="180">
        <f t="shared" si="0"/>
        <v>159264</v>
      </c>
      <c r="J90" s="180">
        <f t="shared" si="0"/>
        <v>0</v>
      </c>
      <c r="K90" s="180">
        <f t="shared" si="0"/>
        <v>591695</v>
      </c>
      <c r="L90" s="180">
        <f t="shared" si="0"/>
        <v>571216</v>
      </c>
      <c r="M90" s="181">
        <f>SUM(M15:M88)</f>
        <v>9786705</v>
      </c>
      <c r="N90" s="181">
        <f>SUM(N15:N88)</f>
        <v>8118800</v>
      </c>
      <c r="O90" s="181">
        <f>SUM(O15:O88)</f>
        <v>9638170</v>
      </c>
      <c r="P90" s="181">
        <f>SUM(P15:P88)</f>
        <v>8427450</v>
      </c>
      <c r="Q90" s="194">
        <f>SUM(Q15:Q88)</f>
        <v>8519870</v>
      </c>
    </row>
    <row r="91" spans="1:17" ht="15.75">
      <c r="A91" s="73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209"/>
    </row>
    <row r="92" spans="1:17" ht="15.75">
      <c r="A92" s="193" t="s">
        <v>482</v>
      </c>
      <c r="B92" s="180"/>
      <c r="C92" s="180" t="e">
        <f aca="true" t="shared" si="1" ref="C92:H92">C13-C90</f>
        <v>#REF!</v>
      </c>
      <c r="D92" s="180" t="e">
        <f t="shared" si="1"/>
        <v>#REF!</v>
      </c>
      <c r="E92" s="180" t="e">
        <f t="shared" si="1"/>
        <v>#REF!</v>
      </c>
      <c r="F92" s="180" t="e">
        <f t="shared" si="1"/>
        <v>#REF!</v>
      </c>
      <c r="G92" s="180" t="e">
        <f t="shared" si="1"/>
        <v>#REF!</v>
      </c>
      <c r="H92" s="180" t="e">
        <f t="shared" si="1"/>
        <v>#REF!</v>
      </c>
      <c r="I92" s="180"/>
      <c r="J92" s="180"/>
      <c r="K92" s="180"/>
      <c r="L92" s="180"/>
      <c r="M92" s="180">
        <f>M13-M90</f>
        <v>-3181405</v>
      </c>
      <c r="N92" s="180">
        <f>N13-N90</f>
        <v>-1170200</v>
      </c>
      <c r="O92" s="180">
        <f>O13-O90</f>
        <v>-2296770</v>
      </c>
      <c r="P92" s="180">
        <f>P13-P90</f>
        <v>-639050</v>
      </c>
      <c r="Q92" s="209">
        <f>Q13-Q90</f>
        <v>-272170</v>
      </c>
    </row>
    <row r="93" spans="1:17" ht="15.75">
      <c r="A93" s="193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95"/>
    </row>
    <row r="94" spans="1:17" ht="20.25">
      <c r="A94" s="187" t="s">
        <v>483</v>
      </c>
      <c r="B94" s="308"/>
      <c r="C94" s="308" t="e">
        <f aca="true" t="shared" si="2" ref="C94:H94">C7+C92</f>
        <v>#REF!</v>
      </c>
      <c r="D94" s="308" t="e">
        <f t="shared" si="2"/>
        <v>#REF!</v>
      </c>
      <c r="E94" s="308" t="e">
        <f t="shared" si="2"/>
        <v>#REF!</v>
      </c>
      <c r="F94" s="308" t="e">
        <f t="shared" si="2"/>
        <v>#REF!</v>
      </c>
      <c r="G94" s="308" t="e">
        <f t="shared" si="2"/>
        <v>#REF!</v>
      </c>
      <c r="H94" s="308" t="e">
        <f t="shared" si="2"/>
        <v>#REF!</v>
      </c>
      <c r="I94" s="308"/>
      <c r="J94" s="308"/>
      <c r="K94" s="308"/>
      <c r="L94" s="308"/>
      <c r="M94" s="309">
        <f>M7+M92</f>
        <v>4170216</v>
      </c>
      <c r="N94" s="309">
        <f>N7+N92</f>
        <v>4235016</v>
      </c>
      <c r="O94" s="309">
        <f>O7+O92</f>
        <v>3218246</v>
      </c>
      <c r="P94" s="309">
        <f>P7+P92</f>
        <v>3909196</v>
      </c>
      <c r="Q94" s="310">
        <f>Q7+Q92</f>
        <v>5017026</v>
      </c>
    </row>
    <row r="95" spans="1:17" ht="15.75">
      <c r="A95" s="193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95"/>
    </row>
    <row r="96" spans="1:17" ht="15.75">
      <c r="A96" s="193" t="s">
        <v>484</v>
      </c>
      <c r="B96" s="174"/>
      <c r="C96" s="174">
        <v>2500000</v>
      </c>
      <c r="D96" s="174">
        <v>2500000</v>
      </c>
      <c r="E96" s="174">
        <v>2500000</v>
      </c>
      <c r="F96" s="174">
        <v>2500000</v>
      </c>
      <c r="G96" s="174">
        <v>2500000</v>
      </c>
      <c r="H96" s="174">
        <v>2500000</v>
      </c>
      <c r="I96" s="174"/>
      <c r="J96" s="174"/>
      <c r="K96" s="174"/>
      <c r="L96" s="174"/>
      <c r="M96" s="174">
        <v>2500000</v>
      </c>
      <c r="N96" s="174">
        <v>2500000</v>
      </c>
      <c r="O96" s="174">
        <v>2500000</v>
      </c>
      <c r="P96" s="174">
        <v>2500000</v>
      </c>
      <c r="Q96" s="190">
        <v>2500000</v>
      </c>
    </row>
    <row r="97" spans="1:17" ht="15.75">
      <c r="A97" s="193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9"/>
    </row>
    <row r="98" spans="1:17" ht="20.25">
      <c r="A98" s="239" t="s">
        <v>485</v>
      </c>
      <c r="B98" s="307"/>
      <c r="C98" s="307" t="e">
        <f aca="true" t="shared" si="3" ref="C98:H98">+C94-C96</f>
        <v>#REF!</v>
      </c>
      <c r="D98" s="307" t="e">
        <f t="shared" si="3"/>
        <v>#REF!</v>
      </c>
      <c r="E98" s="307" t="e">
        <f t="shared" si="3"/>
        <v>#REF!</v>
      </c>
      <c r="F98" s="307" t="e">
        <f t="shared" si="3"/>
        <v>#REF!</v>
      </c>
      <c r="G98" s="307" t="e">
        <f t="shared" si="3"/>
        <v>#REF!</v>
      </c>
      <c r="H98" s="307" t="e">
        <f t="shared" si="3"/>
        <v>#REF!</v>
      </c>
      <c r="I98" s="307"/>
      <c r="J98" s="307"/>
      <c r="K98" s="307"/>
      <c r="L98" s="307"/>
      <c r="M98" s="311">
        <f>+M94-M96</f>
        <v>1670216</v>
      </c>
      <c r="N98" s="311">
        <f>+N94-N96</f>
        <v>1735016</v>
      </c>
      <c r="O98" s="311">
        <f>+O94-O96</f>
        <v>718246</v>
      </c>
      <c r="P98" s="311">
        <f>+P94-P96</f>
        <v>1409196</v>
      </c>
      <c r="Q98" s="312">
        <f>+Q94-Q96</f>
        <v>2517026</v>
      </c>
    </row>
    <row r="99" spans="1:17" ht="15.7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</row>
    <row r="100" ht="15.75">
      <c r="A100" s="86"/>
    </row>
    <row r="102" spans="2:17" ht="15.75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04"/>
      <c r="Q102" s="104"/>
    </row>
    <row r="103" spans="2:17" ht="15.75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04"/>
      <c r="Q103" s="104"/>
    </row>
    <row r="104" spans="2:17" ht="15.75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04"/>
      <c r="Q104" s="104"/>
    </row>
    <row r="105" spans="2:17" ht="15.75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04"/>
      <c r="Q105" s="104"/>
    </row>
    <row r="106" spans="2:17" ht="15.75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04"/>
      <c r="Q106" s="104"/>
    </row>
    <row r="107" spans="2:17" ht="15.75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04"/>
      <c r="Q107" s="104"/>
    </row>
    <row r="108" spans="2:17" ht="15.75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04"/>
      <c r="Q108" s="104"/>
    </row>
    <row r="109" spans="2:17" ht="15.75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ht="15.75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  <row r="111" spans="2:17" ht="15.75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</row>
    <row r="112" spans="2:17" ht="15.75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</row>
    <row r="113" spans="2:17" ht="15.75"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</row>
    <row r="114" spans="2:17" ht="15.75"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</row>
    <row r="115" spans="2:17" ht="15.75"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0"/>
  <sheetViews>
    <sheetView workbookViewId="0" topLeftCell="A1">
      <selection activeCell="A6" sqref="A6:Q93"/>
    </sheetView>
  </sheetViews>
  <sheetFormatPr defaultColWidth="9.00390625" defaultRowHeight="15.75"/>
  <cols>
    <col min="1" max="1" width="40.00390625" style="142" bestFit="1" customWidth="1"/>
    <col min="2" max="2" width="7.00390625" style="142" hidden="1" customWidth="1"/>
    <col min="3" max="9" width="12.375" style="142" hidden="1" customWidth="1"/>
    <col min="10" max="10" width="10.625" style="142" hidden="1" customWidth="1"/>
    <col min="11" max="12" width="12.375" style="142" hidden="1" customWidth="1"/>
    <col min="13" max="13" width="13.625" style="142" bestFit="1" customWidth="1"/>
    <col min="14" max="14" width="13.00390625" style="142" bestFit="1" customWidth="1"/>
    <col min="15" max="17" width="13.625" style="142" bestFit="1" customWidth="1"/>
    <col min="18" max="16384" width="9.00390625" style="142" customWidth="1"/>
  </cols>
  <sheetData>
    <row r="1" spans="1:5" ht="15.75">
      <c r="A1" s="289" t="s">
        <v>410</v>
      </c>
      <c r="B1" s="172"/>
      <c r="C1" s="172"/>
      <c r="D1" s="172"/>
      <c r="E1" s="172"/>
    </row>
    <row r="2" spans="1:5" ht="15.75">
      <c r="A2" s="290" t="s">
        <v>411</v>
      </c>
      <c r="B2" s="172"/>
      <c r="C2" s="172"/>
      <c r="D2" s="172"/>
      <c r="E2" s="172"/>
    </row>
    <row r="3" spans="1:5" ht="15.75">
      <c r="A3" s="289" t="s">
        <v>412</v>
      </c>
      <c r="B3" s="172"/>
      <c r="C3" s="172"/>
      <c r="D3" s="172"/>
      <c r="E3" s="172"/>
    </row>
    <row r="4" spans="1:5" ht="15.75">
      <c r="A4" s="291" t="s">
        <v>544</v>
      </c>
      <c r="B4" s="172"/>
      <c r="C4" s="172"/>
      <c r="D4" s="172"/>
      <c r="E4" s="172"/>
    </row>
    <row r="5" spans="2:5" ht="15.75">
      <c r="B5" s="172"/>
      <c r="C5" s="172"/>
      <c r="D5" s="172"/>
      <c r="E5" s="172"/>
    </row>
    <row r="6" spans="1:17" ht="15.75">
      <c r="A6" s="234" t="s">
        <v>0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35">
        <v>2019</v>
      </c>
      <c r="N6" s="235">
        <v>2020</v>
      </c>
      <c r="O6" s="235">
        <v>2021</v>
      </c>
      <c r="P6" s="235">
        <v>2022</v>
      </c>
      <c r="Q6" s="236">
        <v>2023</v>
      </c>
    </row>
    <row r="7" spans="1:17" ht="15.75">
      <c r="A7" s="187" t="s">
        <v>391</v>
      </c>
      <c r="B7" s="292"/>
      <c r="C7" s="293">
        <v>607945</v>
      </c>
      <c r="D7" s="293" t="e">
        <f>C91</f>
        <v>#REF!</v>
      </c>
      <c r="E7" s="293" t="e">
        <f>D91</f>
        <v>#REF!</v>
      </c>
      <c r="F7" s="293" t="e">
        <f>E91</f>
        <v>#REF!</v>
      </c>
      <c r="G7" s="293" t="e">
        <f>F91</f>
        <v>#REF!</v>
      </c>
      <c r="H7" s="293" t="e">
        <f>#REF!</f>
        <v>#REF!</v>
      </c>
      <c r="I7" s="293">
        <v>3001791</v>
      </c>
      <c r="J7" s="293"/>
      <c r="K7" s="293"/>
      <c r="L7" s="293"/>
      <c r="M7" s="298">
        <v>7351621</v>
      </c>
      <c r="N7" s="298">
        <v>5405216</v>
      </c>
      <c r="O7" s="298">
        <v>5515016</v>
      </c>
      <c r="P7" s="298">
        <v>4548246</v>
      </c>
      <c r="Q7" s="300">
        <v>5289196</v>
      </c>
    </row>
    <row r="8" spans="1:17" ht="15.75">
      <c r="A8" s="72" t="s">
        <v>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301"/>
    </row>
    <row r="9" spans="1:17" ht="15.75">
      <c r="A9" s="191" t="s">
        <v>486</v>
      </c>
      <c r="B9" s="292"/>
      <c r="C9" s="174" t="e">
        <f>#REF!</f>
        <v>#REF!</v>
      </c>
      <c r="D9" s="174" t="e">
        <f>#REF!</f>
        <v>#REF!</v>
      </c>
      <c r="E9" s="174" t="e">
        <f>#REF!</f>
        <v>#REF!</v>
      </c>
      <c r="F9" s="174" t="e">
        <f>#REF!</f>
        <v>#REF!</v>
      </c>
      <c r="G9" s="174" t="e">
        <f>#REF!</f>
        <v>#REF!</v>
      </c>
      <c r="H9" s="174">
        <f>'[4]Fund Summary'!P50</f>
        <v>2743508</v>
      </c>
      <c r="I9" s="174"/>
      <c r="J9" s="174"/>
      <c r="K9" s="174"/>
      <c r="L9" s="174"/>
      <c r="M9" s="211">
        <v>6580300</v>
      </c>
      <c r="N9" s="211">
        <v>6933600</v>
      </c>
      <c r="O9" s="211">
        <v>7326400</v>
      </c>
      <c r="P9" s="211">
        <v>7773400</v>
      </c>
      <c r="Q9" s="217">
        <v>8232700</v>
      </c>
    </row>
    <row r="10" spans="1:17" ht="15.75">
      <c r="A10" s="313" t="s">
        <v>491</v>
      </c>
      <c r="B10" s="292"/>
      <c r="C10" s="294">
        <v>1510598</v>
      </c>
      <c r="D10" s="104">
        <v>1083944</v>
      </c>
      <c r="E10" s="104">
        <v>974747</v>
      </c>
      <c r="F10" s="104" t="e">
        <f>#REF!</f>
        <v>#REF!</v>
      </c>
      <c r="G10" s="104" t="e">
        <f>#REF!</f>
        <v>#REF!</v>
      </c>
      <c r="H10" s="104">
        <f>'[4]Fund Summary'!P12</f>
        <v>652983</v>
      </c>
      <c r="I10" s="104"/>
      <c r="J10" s="104"/>
      <c r="K10" s="104"/>
      <c r="L10" s="104"/>
      <c r="M10" s="104"/>
      <c r="N10" s="104"/>
      <c r="O10" s="104"/>
      <c r="P10" s="104"/>
      <c r="Q10" s="109"/>
    </row>
    <row r="11" spans="1:17" ht="15.75">
      <c r="A11" s="191" t="s">
        <v>492</v>
      </c>
      <c r="B11" s="292"/>
      <c r="C11" s="294">
        <v>0</v>
      </c>
      <c r="D11" s="104">
        <v>0</v>
      </c>
      <c r="E11" s="104">
        <v>0</v>
      </c>
      <c r="F11" s="104" t="e">
        <f>#REF!</f>
        <v>#REF!</v>
      </c>
      <c r="G11" s="104" t="e">
        <f>#REF!</f>
        <v>#REF!</v>
      </c>
      <c r="H11" s="104" t="e">
        <f>#REF!</f>
        <v>#REF!</v>
      </c>
      <c r="I11" s="104"/>
      <c r="J11" s="104"/>
      <c r="K11" s="104"/>
      <c r="L11" s="104"/>
      <c r="M11" s="104">
        <v>25000</v>
      </c>
      <c r="N11" s="104">
        <v>15000</v>
      </c>
      <c r="O11" s="104">
        <v>15000</v>
      </c>
      <c r="P11" s="104">
        <v>15000</v>
      </c>
      <c r="Q11" s="109">
        <v>15000</v>
      </c>
    </row>
    <row r="12" spans="1:17" ht="20.25">
      <c r="A12" s="193" t="s">
        <v>4</v>
      </c>
      <c r="B12" s="180">
        <f aca="true" t="shared" si="0" ref="B12:H12">SUM(B9:B11)</f>
        <v>0</v>
      </c>
      <c r="C12" s="180" t="e">
        <f t="shared" si="0"/>
        <v>#REF!</v>
      </c>
      <c r="D12" s="180" t="e">
        <f t="shared" si="0"/>
        <v>#REF!</v>
      </c>
      <c r="E12" s="180" t="e">
        <f t="shared" si="0"/>
        <v>#REF!</v>
      </c>
      <c r="F12" s="180" t="e">
        <f t="shared" si="0"/>
        <v>#REF!</v>
      </c>
      <c r="G12" s="180" t="e">
        <f t="shared" si="0"/>
        <v>#REF!</v>
      </c>
      <c r="H12" s="180" t="e">
        <f t="shared" si="0"/>
        <v>#REF!</v>
      </c>
      <c r="I12" s="180"/>
      <c r="J12" s="180"/>
      <c r="K12" s="180"/>
      <c r="L12" s="180"/>
      <c r="M12" s="181">
        <f>SUM(M9:M11)</f>
        <v>6605300</v>
      </c>
      <c r="N12" s="181">
        <f>SUM(N9:N11)</f>
        <v>6948600</v>
      </c>
      <c r="O12" s="181">
        <f>SUM(O9:O11)</f>
        <v>7341400</v>
      </c>
      <c r="P12" s="181">
        <f>SUM(P9:P11)</f>
        <v>7788400</v>
      </c>
      <c r="Q12" s="194">
        <f>SUM(Q9:Q11)</f>
        <v>8247700</v>
      </c>
    </row>
    <row r="13" spans="1:17" ht="15.75">
      <c r="A13" s="72" t="s">
        <v>487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9"/>
    </row>
    <row r="14" spans="1:17" ht="15.75">
      <c r="A14" s="73" t="s">
        <v>490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>
        <v>6694705</v>
      </c>
      <c r="N14" s="104">
        <v>6958800</v>
      </c>
      <c r="O14" s="104">
        <v>7303170</v>
      </c>
      <c r="P14" s="104">
        <v>7667450</v>
      </c>
      <c r="Q14" s="109">
        <v>8059870</v>
      </c>
    </row>
    <row r="15" spans="1:18" ht="15.75">
      <c r="A15" s="358" t="s">
        <v>416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>
        <v>710000</v>
      </c>
      <c r="N15" s="104">
        <v>260000</v>
      </c>
      <c r="O15" s="104">
        <v>60000</v>
      </c>
      <c r="P15" s="104">
        <v>60000</v>
      </c>
      <c r="Q15" s="109">
        <v>60000</v>
      </c>
      <c r="R15" s="138"/>
    </row>
    <row r="16" spans="1:18" ht="15.75" hidden="1">
      <c r="A16" s="137" t="s">
        <v>493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74"/>
      <c r="O16" s="174"/>
      <c r="P16" s="138"/>
      <c r="Q16" s="139"/>
      <c r="R16" s="138"/>
    </row>
    <row r="17" spans="1:18" ht="15.75" hidden="1">
      <c r="A17" s="137" t="s">
        <v>494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74"/>
      <c r="O17" s="174"/>
      <c r="P17" s="138"/>
      <c r="Q17" s="139"/>
      <c r="R17" s="138"/>
    </row>
    <row r="18" spans="1:18" ht="15.75" hidden="1">
      <c r="A18" s="137" t="s">
        <v>495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211"/>
      <c r="O18" s="174"/>
      <c r="P18" s="138"/>
      <c r="Q18" s="139"/>
      <c r="R18" s="138"/>
    </row>
    <row r="19" spans="1:18" ht="15.75" hidden="1">
      <c r="A19" s="314" t="s">
        <v>423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211"/>
      <c r="O19" s="211"/>
      <c r="P19" s="138"/>
      <c r="Q19" s="139"/>
      <c r="R19" s="138"/>
    </row>
    <row r="20" spans="1:18" ht="15.75" hidden="1">
      <c r="A20" s="197" t="s">
        <v>496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11"/>
      <c r="O20" s="174"/>
      <c r="P20" s="138"/>
      <c r="Q20" s="139"/>
      <c r="R20" s="138"/>
    </row>
    <row r="21" spans="1:18" ht="15.75" hidden="1">
      <c r="A21" s="314" t="s">
        <v>578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211"/>
      <c r="O21" s="174"/>
      <c r="P21" s="138"/>
      <c r="Q21" s="139"/>
      <c r="R21" s="138"/>
    </row>
    <row r="22" spans="1:18" ht="15.75" hidden="1">
      <c r="A22" s="314" t="s">
        <v>577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211"/>
      <c r="O22" s="174"/>
      <c r="P22" s="138"/>
      <c r="Q22" s="139"/>
      <c r="R22" s="138"/>
    </row>
    <row r="23" spans="1:18" ht="15.75" hidden="1">
      <c r="A23" s="314" t="s">
        <v>497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211"/>
      <c r="O23" s="174"/>
      <c r="P23" s="138"/>
      <c r="Q23" s="139"/>
      <c r="R23" s="138"/>
    </row>
    <row r="24" spans="1:18" ht="15.75" hidden="1">
      <c r="A24" s="314" t="s">
        <v>498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74"/>
      <c r="N24" s="211"/>
      <c r="O24" s="174"/>
      <c r="P24" s="138"/>
      <c r="Q24" s="139"/>
      <c r="R24" s="138"/>
    </row>
    <row r="25" spans="1:18" ht="15.75">
      <c r="A25" s="358" t="s">
        <v>426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211"/>
      <c r="O25" s="104"/>
      <c r="P25" s="138"/>
      <c r="Q25" s="139"/>
      <c r="R25" s="138"/>
    </row>
    <row r="26" spans="1:18" ht="15.75">
      <c r="A26" s="197" t="s">
        <v>499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>
        <v>400000</v>
      </c>
      <c r="N26" s="104">
        <v>400000</v>
      </c>
      <c r="O26" s="104">
        <v>400000</v>
      </c>
      <c r="P26" s="138">
        <v>400000</v>
      </c>
      <c r="Q26" s="139">
        <v>400000</v>
      </c>
      <c r="R26" s="138"/>
    </row>
    <row r="27" spans="1:18" ht="15.75">
      <c r="A27" s="197" t="s">
        <v>576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>
        <v>1832000</v>
      </c>
      <c r="N27" s="104">
        <v>350000</v>
      </c>
      <c r="O27" s="104">
        <v>1625000</v>
      </c>
      <c r="P27" s="104">
        <v>0</v>
      </c>
      <c r="Q27" s="109">
        <v>0</v>
      </c>
      <c r="R27" s="138"/>
    </row>
    <row r="28" spans="1:18" ht="15.75" hidden="1">
      <c r="A28" s="197" t="s">
        <v>582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38"/>
      <c r="Q28" s="139"/>
      <c r="R28" s="138"/>
    </row>
    <row r="29" spans="1:18" ht="15.75" hidden="1">
      <c r="A29" s="197" t="s">
        <v>501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38"/>
      <c r="Q29" s="139"/>
      <c r="R29" s="138"/>
    </row>
    <row r="30" spans="1:18" ht="15.75" hidden="1">
      <c r="A30" s="197" t="s">
        <v>502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38"/>
      <c r="Q30" s="139"/>
      <c r="R30" s="138"/>
    </row>
    <row r="31" spans="1:18" ht="15.75" hidden="1">
      <c r="A31" s="197" t="s">
        <v>503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38"/>
      <c r="Q31" s="139"/>
      <c r="R31" s="138"/>
    </row>
    <row r="32" spans="1:18" ht="15.75" hidden="1">
      <c r="A32" s="197" t="s">
        <v>504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38"/>
      <c r="Q32" s="139"/>
      <c r="R32" s="138"/>
    </row>
    <row r="33" spans="1:18" ht="15.75" hidden="1">
      <c r="A33" s="197" t="s">
        <v>505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38"/>
      <c r="Q33" s="139"/>
      <c r="R33" s="138"/>
    </row>
    <row r="34" spans="1:18" ht="15.75" hidden="1">
      <c r="A34" s="197" t="s">
        <v>574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38"/>
      <c r="Q34" s="139"/>
      <c r="R34" s="138"/>
    </row>
    <row r="35" spans="1:18" ht="15.75" hidden="1">
      <c r="A35" s="197" t="s">
        <v>506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38"/>
      <c r="Q35" s="139"/>
      <c r="R35" s="138"/>
    </row>
    <row r="36" spans="1:18" ht="15.75" hidden="1">
      <c r="A36" s="197" t="s">
        <v>507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38"/>
      <c r="Q36" s="139"/>
      <c r="R36" s="138"/>
    </row>
    <row r="37" spans="1:18" ht="15.75" hidden="1">
      <c r="A37" s="197" t="s">
        <v>508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38"/>
      <c r="Q37" s="139"/>
      <c r="R37" s="138"/>
    </row>
    <row r="38" spans="1:18" ht="15.75" hidden="1">
      <c r="A38" s="197" t="s">
        <v>570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38"/>
      <c r="Q38" s="139"/>
      <c r="R38" s="138"/>
    </row>
    <row r="39" spans="1:18" ht="15.75" hidden="1">
      <c r="A39" s="197" t="s">
        <v>573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38"/>
      <c r="Q39" s="139"/>
      <c r="R39" s="138"/>
    </row>
    <row r="40" spans="1:18" ht="15.75" hidden="1">
      <c r="A40" s="197" t="s">
        <v>509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38"/>
      <c r="Q40" s="139"/>
      <c r="R40" s="138"/>
    </row>
    <row r="41" spans="1:18" ht="15.75" hidden="1">
      <c r="A41" s="197" t="s">
        <v>510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38"/>
      <c r="Q41" s="139"/>
      <c r="R41" s="138"/>
    </row>
    <row r="42" spans="1:18" ht="15.75" hidden="1">
      <c r="A42" s="197" t="s">
        <v>571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04"/>
      <c r="N42" s="104"/>
      <c r="O42" s="104"/>
      <c r="P42" s="138"/>
      <c r="Q42" s="139"/>
      <c r="R42" s="138"/>
    </row>
    <row r="43" spans="1:18" ht="15.75" hidden="1">
      <c r="A43" s="197" t="s">
        <v>572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04"/>
      <c r="N43" s="104"/>
      <c r="O43" s="104"/>
      <c r="P43" s="138"/>
      <c r="Q43" s="139"/>
      <c r="R43" s="138"/>
    </row>
    <row r="44" spans="1:18" ht="15.75" hidden="1">
      <c r="A44" s="197" t="s">
        <v>511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04"/>
      <c r="N44" s="104"/>
      <c r="O44" s="104"/>
      <c r="P44" s="138"/>
      <c r="Q44" s="139"/>
      <c r="R44" s="138"/>
    </row>
    <row r="45" spans="1:18" ht="15.75" hidden="1">
      <c r="A45" s="197" t="s">
        <v>512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04"/>
      <c r="N45" s="104"/>
      <c r="O45" s="104"/>
      <c r="P45" s="138"/>
      <c r="Q45" s="139"/>
      <c r="R45" s="138"/>
    </row>
    <row r="46" spans="1:18" ht="15.75" hidden="1">
      <c r="A46" s="197" t="s">
        <v>575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04"/>
      <c r="N46" s="104"/>
      <c r="O46" s="104"/>
      <c r="P46" s="138"/>
      <c r="Q46" s="139"/>
      <c r="R46" s="138"/>
    </row>
    <row r="47" spans="1:18" ht="15.75" hidden="1">
      <c r="A47" s="197" t="s">
        <v>513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04"/>
      <c r="N47" s="104"/>
      <c r="O47" s="104"/>
      <c r="P47" s="138"/>
      <c r="Q47" s="139"/>
      <c r="R47" s="138"/>
    </row>
    <row r="48" spans="1:18" ht="15.75" hidden="1">
      <c r="A48" s="197" t="s">
        <v>500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04"/>
      <c r="N48" s="104"/>
      <c r="O48" s="104"/>
      <c r="P48" s="138"/>
      <c r="Q48" s="139"/>
      <c r="R48" s="138"/>
    </row>
    <row r="49" spans="1:18" ht="15.75" hidden="1">
      <c r="A49" s="197" t="s">
        <v>514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04"/>
      <c r="N49" s="104"/>
      <c r="O49" s="104"/>
      <c r="P49" s="138"/>
      <c r="Q49" s="139"/>
      <c r="R49" s="138"/>
    </row>
    <row r="50" spans="1:18" ht="15.75" hidden="1">
      <c r="A50" s="197" t="s">
        <v>515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04"/>
      <c r="N50" s="104"/>
      <c r="O50" s="104"/>
      <c r="P50" s="138"/>
      <c r="Q50" s="139"/>
      <c r="R50" s="138"/>
    </row>
    <row r="51" spans="1:18" ht="15.75" hidden="1">
      <c r="A51" s="197" t="s">
        <v>516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04"/>
      <c r="N51" s="104"/>
      <c r="O51" s="104"/>
      <c r="P51" s="138"/>
      <c r="Q51" s="139"/>
      <c r="R51" s="138"/>
    </row>
    <row r="52" spans="1:18" ht="15.75" hidden="1">
      <c r="A52" s="197" t="s">
        <v>517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04"/>
      <c r="N52" s="104"/>
      <c r="O52" s="104"/>
      <c r="P52" s="138"/>
      <c r="Q52" s="139"/>
      <c r="R52" s="138"/>
    </row>
    <row r="53" spans="1:18" ht="15.75" hidden="1">
      <c r="A53" s="197" t="s">
        <v>579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38"/>
      <c r="Q53" s="139"/>
      <c r="R53" s="138"/>
    </row>
    <row r="54" spans="1:18" ht="15.75" hidden="1">
      <c r="A54" s="197" t="s">
        <v>580</v>
      </c>
      <c r="B54" s="294"/>
      <c r="C54" s="294"/>
      <c r="D54" s="294"/>
      <c r="E54" s="29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38"/>
      <c r="Q54" s="139"/>
      <c r="R54" s="138"/>
    </row>
    <row r="55" spans="1:18" ht="15.75" hidden="1">
      <c r="A55" s="197" t="s">
        <v>518</v>
      </c>
      <c r="B55" s="294"/>
      <c r="C55" s="294"/>
      <c r="D55" s="294"/>
      <c r="E55" s="29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38"/>
      <c r="Q55" s="139"/>
      <c r="R55" s="138"/>
    </row>
    <row r="56" spans="1:18" ht="15.75" hidden="1">
      <c r="A56" s="197" t="s">
        <v>519</v>
      </c>
      <c r="B56" s="294"/>
      <c r="C56" s="294"/>
      <c r="D56" s="294"/>
      <c r="E56" s="29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38"/>
      <c r="Q56" s="139"/>
      <c r="R56" s="138"/>
    </row>
    <row r="57" spans="1:18" ht="15.75">
      <c r="A57" s="197" t="s">
        <v>581</v>
      </c>
      <c r="B57" s="294"/>
      <c r="C57" s="294"/>
      <c r="D57" s="294"/>
      <c r="E57" s="294"/>
      <c r="F57" s="104"/>
      <c r="G57" s="104"/>
      <c r="H57" s="297"/>
      <c r="I57" s="297"/>
      <c r="J57" s="104"/>
      <c r="K57" s="104"/>
      <c r="L57" s="104"/>
      <c r="M57" s="104"/>
      <c r="N57" s="104"/>
      <c r="O57" s="104"/>
      <c r="P57" s="138"/>
      <c r="Q57" s="139"/>
      <c r="R57" s="138"/>
    </row>
    <row r="58" spans="1:18" ht="15.75">
      <c r="A58" s="197" t="s">
        <v>477</v>
      </c>
      <c r="B58" s="294"/>
      <c r="C58" s="294"/>
      <c r="D58" s="294"/>
      <c r="E58" s="294"/>
      <c r="F58" s="104"/>
      <c r="G58" s="104"/>
      <c r="H58" s="297"/>
      <c r="I58" s="297"/>
      <c r="J58" s="104"/>
      <c r="K58" s="104"/>
      <c r="L58" s="104"/>
      <c r="M58" s="104">
        <v>150000</v>
      </c>
      <c r="N58" s="104"/>
      <c r="O58" s="104"/>
      <c r="P58" s="138"/>
      <c r="Q58" s="139"/>
      <c r="R58" s="138"/>
    </row>
    <row r="59" spans="1:18" ht="15.75">
      <c r="A59" s="197" t="s">
        <v>478</v>
      </c>
      <c r="B59" s="294"/>
      <c r="C59" s="294"/>
      <c r="D59" s="294"/>
      <c r="E59" s="294"/>
      <c r="F59" s="104"/>
      <c r="G59" s="104"/>
      <c r="H59" s="104"/>
      <c r="I59" s="104"/>
      <c r="J59" s="104"/>
      <c r="K59" s="104"/>
      <c r="L59" s="104"/>
      <c r="M59" s="104"/>
      <c r="N59" s="104">
        <v>150000</v>
      </c>
      <c r="O59" s="104"/>
      <c r="P59" s="138"/>
      <c r="Q59" s="139"/>
      <c r="R59" s="138"/>
    </row>
    <row r="60" spans="1:18" ht="15.75">
      <c r="A60" s="197" t="s">
        <v>479</v>
      </c>
      <c r="B60" s="294"/>
      <c r="C60" s="294"/>
      <c r="D60" s="294"/>
      <c r="E60" s="294"/>
      <c r="F60" s="104"/>
      <c r="G60" s="104"/>
      <c r="H60" s="104"/>
      <c r="I60" s="104"/>
      <c r="J60" s="104"/>
      <c r="K60" s="104"/>
      <c r="L60" s="104"/>
      <c r="M60" s="104"/>
      <c r="N60" s="104"/>
      <c r="O60" s="104">
        <v>250000</v>
      </c>
      <c r="P60" s="138"/>
      <c r="Q60" s="139"/>
      <c r="R60" s="138"/>
    </row>
    <row r="61" spans="1:18" ht="15.75">
      <c r="A61" s="197" t="s">
        <v>480</v>
      </c>
      <c r="B61" s="294"/>
      <c r="C61" s="294"/>
      <c r="D61" s="294"/>
      <c r="E61" s="29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38">
        <v>300000</v>
      </c>
      <c r="Q61" s="139"/>
      <c r="R61" s="138"/>
    </row>
    <row r="62" spans="1:18" ht="15.75" hidden="1">
      <c r="A62" s="73"/>
      <c r="B62" s="294"/>
      <c r="C62" s="294"/>
      <c r="D62" s="294"/>
      <c r="E62" s="29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38"/>
      <c r="Q62" s="139"/>
      <c r="R62" s="138"/>
    </row>
    <row r="63" spans="1:18" ht="15.75" hidden="1">
      <c r="A63" s="73"/>
      <c r="B63" s="294"/>
      <c r="C63" s="294"/>
      <c r="D63" s="294"/>
      <c r="E63" s="294"/>
      <c r="F63" s="104"/>
      <c r="G63" s="104"/>
      <c r="H63" s="297"/>
      <c r="I63" s="297"/>
      <c r="J63" s="104"/>
      <c r="K63" s="104"/>
      <c r="L63" s="104"/>
      <c r="M63" s="104"/>
      <c r="N63" s="104"/>
      <c r="O63" s="104"/>
      <c r="P63" s="138"/>
      <c r="Q63" s="139"/>
      <c r="R63" s="138"/>
    </row>
    <row r="64" spans="1:18" ht="15.75" hidden="1">
      <c r="A64" s="73" t="s">
        <v>520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294"/>
      <c r="O64" s="104"/>
      <c r="P64" s="138"/>
      <c r="Q64" s="139"/>
      <c r="R64" s="138"/>
    </row>
    <row r="65" spans="1:18" ht="15.75" hidden="1">
      <c r="A65" s="197" t="s">
        <v>476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38"/>
      <c r="Q65" s="139"/>
      <c r="R65" s="138"/>
    </row>
    <row r="66" spans="1:18" ht="15.75" hidden="1">
      <c r="A66" s="197" t="s">
        <v>521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>
        <v>0</v>
      </c>
      <c r="N66" s="104"/>
      <c r="O66" s="104"/>
      <c r="P66" s="138"/>
      <c r="Q66" s="139"/>
      <c r="R66" s="138"/>
    </row>
    <row r="67" spans="1:18" ht="15.75" hidden="1">
      <c r="A67" s="197" t="s">
        <v>522</v>
      </c>
      <c r="B67" s="294"/>
      <c r="C67" s="294"/>
      <c r="D67" s="294"/>
      <c r="E67" s="29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38"/>
      <c r="Q67" s="139"/>
      <c r="R67" s="138"/>
    </row>
    <row r="68" spans="1:18" ht="15.75" hidden="1">
      <c r="A68" s="197" t="s">
        <v>523</v>
      </c>
      <c r="B68" s="294"/>
      <c r="C68" s="294"/>
      <c r="D68" s="294"/>
      <c r="E68" s="29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38"/>
      <c r="Q68" s="139"/>
      <c r="R68" s="138"/>
    </row>
    <row r="69" spans="1:18" ht="15.75" hidden="1">
      <c r="A69" s="197" t="s">
        <v>524</v>
      </c>
      <c r="B69" s="294"/>
      <c r="C69" s="294"/>
      <c r="D69" s="294"/>
      <c r="E69" s="29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38"/>
      <c r="Q69" s="139"/>
      <c r="R69" s="138"/>
    </row>
    <row r="70" spans="1:18" ht="15.75" hidden="1">
      <c r="A70" s="197" t="s">
        <v>525</v>
      </c>
      <c r="B70" s="294"/>
      <c r="C70" s="294"/>
      <c r="D70" s="294"/>
      <c r="E70" s="294"/>
      <c r="F70" s="294"/>
      <c r="G70" s="104"/>
      <c r="H70" s="294"/>
      <c r="I70" s="294"/>
      <c r="J70" s="294"/>
      <c r="K70" s="294"/>
      <c r="L70" s="294"/>
      <c r="M70" s="104"/>
      <c r="N70" s="104"/>
      <c r="O70" s="104"/>
      <c r="P70" s="138"/>
      <c r="Q70" s="139"/>
      <c r="R70" s="138"/>
    </row>
    <row r="71" spans="1:18" ht="15.75" hidden="1">
      <c r="A71" s="315" t="s">
        <v>526</v>
      </c>
      <c r="B71" s="294"/>
      <c r="C71" s="294"/>
      <c r="D71" s="294"/>
      <c r="E71" s="294"/>
      <c r="F71" s="294"/>
      <c r="G71" s="104"/>
      <c r="H71" s="294"/>
      <c r="I71" s="294"/>
      <c r="J71" s="294"/>
      <c r="K71" s="294"/>
      <c r="L71" s="294"/>
      <c r="M71" s="104"/>
      <c r="N71" s="104"/>
      <c r="O71" s="104"/>
      <c r="P71" s="138"/>
      <c r="Q71" s="139"/>
      <c r="R71" s="138"/>
    </row>
    <row r="72" spans="1:18" ht="15.75" hidden="1">
      <c r="A72" s="315" t="s">
        <v>527</v>
      </c>
      <c r="B72" s="294"/>
      <c r="C72" s="294"/>
      <c r="D72" s="294"/>
      <c r="E72" s="294"/>
      <c r="F72" s="294"/>
      <c r="G72" s="104"/>
      <c r="H72" s="294"/>
      <c r="I72" s="294"/>
      <c r="J72" s="294"/>
      <c r="K72" s="294"/>
      <c r="L72" s="294"/>
      <c r="M72" s="104"/>
      <c r="N72" s="104"/>
      <c r="O72" s="104"/>
      <c r="P72" s="138"/>
      <c r="Q72" s="139"/>
      <c r="R72" s="138"/>
    </row>
    <row r="73" spans="1:18" ht="15.75" hidden="1">
      <c r="A73" s="315" t="s">
        <v>528</v>
      </c>
      <c r="B73" s="294"/>
      <c r="C73" s="294"/>
      <c r="D73" s="294"/>
      <c r="E73" s="294"/>
      <c r="F73" s="294"/>
      <c r="G73" s="104"/>
      <c r="H73" s="294"/>
      <c r="I73" s="294"/>
      <c r="J73" s="294"/>
      <c r="K73" s="294"/>
      <c r="L73" s="294"/>
      <c r="M73" s="104"/>
      <c r="N73" s="104"/>
      <c r="O73" s="104"/>
      <c r="P73" s="138"/>
      <c r="Q73" s="139"/>
      <c r="R73" s="138"/>
    </row>
    <row r="74" spans="1:18" ht="15.75" hidden="1">
      <c r="A74" s="315" t="s">
        <v>529</v>
      </c>
      <c r="B74" s="294"/>
      <c r="C74" s="294"/>
      <c r="D74" s="294"/>
      <c r="E74" s="294"/>
      <c r="F74" s="294"/>
      <c r="G74" s="104"/>
      <c r="H74" s="294"/>
      <c r="I74" s="294"/>
      <c r="J74" s="294"/>
      <c r="K74" s="294"/>
      <c r="L74" s="294"/>
      <c r="M74" s="104"/>
      <c r="N74" s="104"/>
      <c r="O74" s="104"/>
      <c r="P74" s="138"/>
      <c r="Q74" s="139"/>
      <c r="R74" s="138"/>
    </row>
    <row r="75" spans="1:18" ht="15.75" hidden="1">
      <c r="A75" s="304" t="s">
        <v>530</v>
      </c>
      <c r="B75" s="294"/>
      <c r="C75" s="294"/>
      <c r="D75" s="294"/>
      <c r="E75" s="294"/>
      <c r="F75" s="294"/>
      <c r="G75" s="104"/>
      <c r="H75" s="294"/>
      <c r="I75" s="294"/>
      <c r="J75" s="294"/>
      <c r="K75" s="294"/>
      <c r="L75" s="294"/>
      <c r="M75" s="104"/>
      <c r="N75" s="104"/>
      <c r="O75" s="104"/>
      <c r="P75" s="138"/>
      <c r="Q75" s="139"/>
      <c r="R75" s="138"/>
    </row>
    <row r="76" spans="1:18" ht="15.75" hidden="1">
      <c r="A76" s="304" t="s">
        <v>531</v>
      </c>
      <c r="B76" s="294"/>
      <c r="C76" s="294"/>
      <c r="D76" s="294"/>
      <c r="E76" s="294"/>
      <c r="F76" s="294"/>
      <c r="G76" s="104"/>
      <c r="H76" s="294"/>
      <c r="I76" s="294"/>
      <c r="J76" s="294"/>
      <c r="K76" s="294"/>
      <c r="L76" s="294"/>
      <c r="N76" s="104"/>
      <c r="O76" s="104"/>
      <c r="P76" s="138"/>
      <c r="Q76" s="139"/>
      <c r="R76" s="138"/>
    </row>
    <row r="77" spans="1:18" ht="15.75" hidden="1">
      <c r="A77" s="315" t="s">
        <v>532</v>
      </c>
      <c r="B77" s="294"/>
      <c r="C77" s="294"/>
      <c r="D77" s="294"/>
      <c r="E77" s="294"/>
      <c r="F77" s="294"/>
      <c r="G77" s="104"/>
      <c r="H77" s="294"/>
      <c r="I77" s="294"/>
      <c r="J77" s="294"/>
      <c r="K77" s="294"/>
      <c r="L77" s="294"/>
      <c r="N77" s="104"/>
      <c r="O77" s="104"/>
      <c r="P77" s="138"/>
      <c r="Q77" s="139"/>
      <c r="R77" s="138"/>
    </row>
    <row r="78" spans="1:18" ht="15.75" hidden="1">
      <c r="A78" s="315" t="s">
        <v>533</v>
      </c>
      <c r="B78" s="294"/>
      <c r="C78" s="294"/>
      <c r="D78" s="294"/>
      <c r="E78" s="294"/>
      <c r="F78" s="294"/>
      <c r="G78" s="104"/>
      <c r="H78" s="294"/>
      <c r="I78" s="294"/>
      <c r="J78" s="294"/>
      <c r="K78" s="294"/>
      <c r="L78" s="294"/>
      <c r="M78" s="104"/>
      <c r="N78" s="104"/>
      <c r="O78" s="104"/>
      <c r="P78" s="138"/>
      <c r="Q78" s="139"/>
      <c r="R78" s="138"/>
    </row>
    <row r="79" spans="1:18" ht="15.75" hidden="1">
      <c r="A79" s="315" t="s">
        <v>534</v>
      </c>
      <c r="B79" s="294"/>
      <c r="C79" s="294"/>
      <c r="D79" s="294"/>
      <c r="E79" s="294"/>
      <c r="F79" s="294"/>
      <c r="G79" s="104"/>
      <c r="H79" s="294"/>
      <c r="I79" s="294"/>
      <c r="J79" s="294"/>
      <c r="K79" s="294"/>
      <c r="L79" s="294"/>
      <c r="M79" s="104"/>
      <c r="N79" s="104"/>
      <c r="O79" s="104"/>
      <c r="P79" s="138"/>
      <c r="Q79" s="139"/>
      <c r="R79" s="138"/>
    </row>
    <row r="80" spans="1:18" ht="15.75" hidden="1">
      <c r="A80" s="304" t="s">
        <v>535</v>
      </c>
      <c r="B80" s="294"/>
      <c r="C80" s="294"/>
      <c r="D80" s="294"/>
      <c r="E80" s="294"/>
      <c r="F80" s="294"/>
      <c r="G80" s="104"/>
      <c r="H80" s="294"/>
      <c r="I80" s="294"/>
      <c r="J80" s="294"/>
      <c r="K80" s="294"/>
      <c r="L80" s="294"/>
      <c r="M80" s="104"/>
      <c r="N80" s="104"/>
      <c r="O80" s="104"/>
      <c r="P80" s="138"/>
      <c r="Q80" s="139"/>
      <c r="R80" s="138"/>
    </row>
    <row r="81" spans="1:18" ht="15.75" hidden="1">
      <c r="A81" s="315" t="s">
        <v>536</v>
      </c>
      <c r="B81" s="294"/>
      <c r="C81" s="294"/>
      <c r="D81" s="294"/>
      <c r="E81" s="294"/>
      <c r="F81" s="294"/>
      <c r="G81" s="104"/>
      <c r="H81" s="294"/>
      <c r="I81" s="294"/>
      <c r="J81" s="294"/>
      <c r="K81" s="294"/>
      <c r="L81" s="294"/>
      <c r="M81" s="104"/>
      <c r="N81" s="104"/>
      <c r="O81" s="104"/>
      <c r="P81" s="138"/>
      <c r="Q81" s="139"/>
      <c r="R81" s="138"/>
    </row>
    <row r="82" spans="1:18" ht="15.75" hidden="1">
      <c r="A82" s="315" t="s">
        <v>537</v>
      </c>
      <c r="B82" s="294"/>
      <c r="C82" s="294"/>
      <c r="D82" s="294"/>
      <c r="E82" s="294"/>
      <c r="F82" s="294"/>
      <c r="G82" s="104"/>
      <c r="H82" s="294"/>
      <c r="I82" s="294"/>
      <c r="J82" s="294"/>
      <c r="K82" s="294"/>
      <c r="L82" s="294"/>
      <c r="M82" s="104"/>
      <c r="N82" s="104"/>
      <c r="O82" s="104"/>
      <c r="P82" s="138"/>
      <c r="Q82" s="139"/>
      <c r="R82" s="138"/>
    </row>
    <row r="83" spans="1:18" ht="15.75" hidden="1">
      <c r="A83" s="315" t="s">
        <v>538</v>
      </c>
      <c r="B83" s="294"/>
      <c r="C83" s="294"/>
      <c r="D83" s="294"/>
      <c r="E83" s="294"/>
      <c r="F83" s="294"/>
      <c r="G83" s="104"/>
      <c r="H83" s="294"/>
      <c r="I83" s="294"/>
      <c r="J83" s="294"/>
      <c r="K83" s="294"/>
      <c r="L83" s="294"/>
      <c r="M83" s="104"/>
      <c r="N83" s="104"/>
      <c r="O83" s="104"/>
      <c r="P83" s="138"/>
      <c r="Q83" s="139"/>
      <c r="R83" s="138"/>
    </row>
    <row r="84" spans="1:18" ht="15.75" hidden="1">
      <c r="A84" s="315" t="s">
        <v>539</v>
      </c>
      <c r="B84" s="294"/>
      <c r="C84" s="294"/>
      <c r="D84" s="294"/>
      <c r="E84" s="294"/>
      <c r="F84" s="294"/>
      <c r="G84" s="104"/>
      <c r="H84" s="294"/>
      <c r="I84" s="294"/>
      <c r="J84" s="294"/>
      <c r="K84" s="294"/>
      <c r="L84" s="294"/>
      <c r="M84" s="104"/>
      <c r="N84" s="104"/>
      <c r="O84" s="104"/>
      <c r="P84" s="138"/>
      <c r="Q84" s="139"/>
      <c r="R84" s="138"/>
    </row>
    <row r="85" spans="1:18" ht="15.75" hidden="1">
      <c r="A85" s="316" t="s">
        <v>540</v>
      </c>
      <c r="B85" s="294"/>
      <c r="C85" s="294"/>
      <c r="D85" s="294"/>
      <c r="E85" s="294"/>
      <c r="F85" s="294"/>
      <c r="G85" s="104"/>
      <c r="H85" s="294"/>
      <c r="I85" s="294"/>
      <c r="J85" s="294"/>
      <c r="K85" s="294"/>
      <c r="L85" s="294"/>
      <c r="M85" s="104"/>
      <c r="N85" s="104"/>
      <c r="O85" s="104"/>
      <c r="P85" s="138"/>
      <c r="Q85" s="139"/>
      <c r="R85" s="138"/>
    </row>
    <row r="86" spans="1:18" ht="15.75" hidden="1">
      <c r="A86" s="316" t="s">
        <v>541</v>
      </c>
      <c r="B86" s="294"/>
      <c r="C86" s="294"/>
      <c r="D86" s="294"/>
      <c r="E86" s="294"/>
      <c r="F86" s="294"/>
      <c r="G86" s="104"/>
      <c r="H86" s="294"/>
      <c r="I86" s="294"/>
      <c r="J86" s="294"/>
      <c r="K86" s="294"/>
      <c r="L86" s="294"/>
      <c r="M86" s="104"/>
      <c r="N86" s="104"/>
      <c r="O86" s="104"/>
      <c r="P86" s="138"/>
      <c r="Q86" s="139"/>
      <c r="R86" s="138"/>
    </row>
    <row r="87" spans="1:18" ht="15.75" hidden="1">
      <c r="A87" s="315" t="s">
        <v>542</v>
      </c>
      <c r="B87" s="294"/>
      <c r="C87" s="294"/>
      <c r="D87" s="294"/>
      <c r="E87" s="294"/>
      <c r="F87" s="294"/>
      <c r="G87" s="104"/>
      <c r="H87" s="294"/>
      <c r="I87" s="294"/>
      <c r="J87" s="294"/>
      <c r="K87" s="294"/>
      <c r="L87" s="294"/>
      <c r="M87" s="104"/>
      <c r="N87" s="104"/>
      <c r="O87" s="104"/>
      <c r="P87" s="138"/>
      <c r="Q87" s="139"/>
      <c r="R87" s="138"/>
    </row>
    <row r="88" spans="1:17" ht="15.75" hidden="1">
      <c r="A88" s="193"/>
      <c r="B88" s="104"/>
      <c r="C88" s="104"/>
      <c r="D88" s="104"/>
      <c r="E88" s="104"/>
      <c r="F88" s="104"/>
      <c r="G88" s="104">
        <v>0</v>
      </c>
      <c r="H88" s="294">
        <f>93600+87300</f>
        <v>180900</v>
      </c>
      <c r="I88" s="294">
        <v>159264</v>
      </c>
      <c r="J88" s="294"/>
      <c r="K88" s="294">
        <f>191695+400000</f>
        <v>591695</v>
      </c>
      <c r="L88" s="294">
        <f>156216+415000</f>
        <v>571216</v>
      </c>
      <c r="Q88" s="143"/>
    </row>
    <row r="89" spans="1:17" ht="20.25">
      <c r="A89" s="193" t="s">
        <v>489</v>
      </c>
      <c r="B89" s="180"/>
      <c r="C89" s="180">
        <f>SUM(C42:C59)</f>
        <v>0</v>
      </c>
      <c r="D89" s="180">
        <f>SUM(D42:D59)</f>
        <v>0</v>
      </c>
      <c r="E89" s="180">
        <f aca="true" t="shared" si="1" ref="E89:L89">SUM(E42:E88)</f>
        <v>0</v>
      </c>
      <c r="F89" s="180">
        <f t="shared" si="1"/>
        <v>0</v>
      </c>
      <c r="G89" s="180">
        <f t="shared" si="1"/>
        <v>0</v>
      </c>
      <c r="H89" s="180">
        <f t="shared" si="1"/>
        <v>180900</v>
      </c>
      <c r="I89" s="180">
        <f t="shared" si="1"/>
        <v>159264</v>
      </c>
      <c r="J89" s="180">
        <f t="shared" si="1"/>
        <v>0</v>
      </c>
      <c r="K89" s="180">
        <f t="shared" si="1"/>
        <v>591695</v>
      </c>
      <c r="L89" s="180">
        <f t="shared" si="1"/>
        <v>571216</v>
      </c>
      <c r="M89" s="181">
        <f>SUM(M14:M87)</f>
        <v>9786705</v>
      </c>
      <c r="N89" s="181">
        <f>SUM(N14:N87)</f>
        <v>8118800</v>
      </c>
      <c r="O89" s="181">
        <f>SUM(O14:O87)</f>
        <v>9638170</v>
      </c>
      <c r="P89" s="181">
        <f>SUM(P14:P87)</f>
        <v>8427450</v>
      </c>
      <c r="Q89" s="194">
        <f>SUM(Q14:Q87)</f>
        <v>8519870</v>
      </c>
    </row>
    <row r="90" spans="1:17" ht="15.75">
      <c r="A90" s="193" t="s">
        <v>482</v>
      </c>
      <c r="B90" s="180"/>
      <c r="C90" s="180" t="e">
        <f aca="true" t="shared" si="2" ref="C90:H90">C12-C89</f>
        <v>#REF!</v>
      </c>
      <c r="D90" s="180" t="e">
        <f t="shared" si="2"/>
        <v>#REF!</v>
      </c>
      <c r="E90" s="180" t="e">
        <f t="shared" si="2"/>
        <v>#REF!</v>
      </c>
      <c r="F90" s="180" t="e">
        <f t="shared" si="2"/>
        <v>#REF!</v>
      </c>
      <c r="G90" s="180" t="e">
        <f t="shared" si="2"/>
        <v>#REF!</v>
      </c>
      <c r="H90" s="180" t="e">
        <f t="shared" si="2"/>
        <v>#REF!</v>
      </c>
      <c r="I90" s="180"/>
      <c r="J90" s="180"/>
      <c r="K90" s="180"/>
      <c r="L90" s="180"/>
      <c r="M90" s="180">
        <f>M12-M89</f>
        <v>-3181405</v>
      </c>
      <c r="N90" s="180">
        <f>N12-N89</f>
        <v>-1170200</v>
      </c>
      <c r="O90" s="180">
        <f>O12-O89</f>
        <v>-2296770</v>
      </c>
      <c r="P90" s="180">
        <f>P12-P89</f>
        <v>-639050</v>
      </c>
      <c r="Q90" s="209">
        <f>Q12-Q89</f>
        <v>-272170</v>
      </c>
    </row>
    <row r="91" spans="1:17" ht="20.25">
      <c r="A91" s="187" t="s">
        <v>483</v>
      </c>
      <c r="B91" s="308"/>
      <c r="C91" s="308" t="e">
        <f aca="true" t="shared" si="3" ref="C91:H91">C7+C90</f>
        <v>#REF!</v>
      </c>
      <c r="D91" s="308" t="e">
        <f t="shared" si="3"/>
        <v>#REF!</v>
      </c>
      <c r="E91" s="308" t="e">
        <f t="shared" si="3"/>
        <v>#REF!</v>
      </c>
      <c r="F91" s="308" t="e">
        <f t="shared" si="3"/>
        <v>#REF!</v>
      </c>
      <c r="G91" s="308" t="e">
        <f t="shared" si="3"/>
        <v>#REF!</v>
      </c>
      <c r="H91" s="308" t="e">
        <f t="shared" si="3"/>
        <v>#REF!</v>
      </c>
      <c r="I91" s="308"/>
      <c r="J91" s="308"/>
      <c r="K91" s="308"/>
      <c r="L91" s="308"/>
      <c r="M91" s="309">
        <f>M7+M90</f>
        <v>4170216</v>
      </c>
      <c r="N91" s="309">
        <f>N7+N90</f>
        <v>4235016</v>
      </c>
      <c r="O91" s="309">
        <f>O7+O90</f>
        <v>3218246</v>
      </c>
      <c r="P91" s="309">
        <f>P7+P90</f>
        <v>3909196</v>
      </c>
      <c r="Q91" s="310">
        <f>Q7+Q90</f>
        <v>5017026</v>
      </c>
    </row>
    <row r="92" spans="1:17" ht="15.75">
      <c r="A92" s="193" t="s">
        <v>484</v>
      </c>
      <c r="B92" s="174"/>
      <c r="C92" s="174">
        <v>2500000</v>
      </c>
      <c r="D92" s="174">
        <v>2500000</v>
      </c>
      <c r="E92" s="174">
        <v>2500000</v>
      </c>
      <c r="F92" s="174">
        <v>2500000</v>
      </c>
      <c r="G92" s="174">
        <v>2500000</v>
      </c>
      <c r="H92" s="174">
        <v>2500000</v>
      </c>
      <c r="I92" s="174"/>
      <c r="J92" s="174"/>
      <c r="K92" s="174"/>
      <c r="L92" s="174"/>
      <c r="M92" s="174">
        <v>2500000</v>
      </c>
      <c r="N92" s="174">
        <v>2500000</v>
      </c>
      <c r="O92" s="174">
        <v>2500000</v>
      </c>
      <c r="P92" s="174">
        <v>2500000</v>
      </c>
      <c r="Q92" s="190">
        <v>2500000</v>
      </c>
    </row>
    <row r="93" spans="1:17" ht="20.25">
      <c r="A93" s="239" t="s">
        <v>485</v>
      </c>
      <c r="B93" s="307"/>
      <c r="C93" s="307" t="e">
        <f aca="true" t="shared" si="4" ref="C93:H93">+C91-C92</f>
        <v>#REF!</v>
      </c>
      <c r="D93" s="307" t="e">
        <f t="shared" si="4"/>
        <v>#REF!</v>
      </c>
      <c r="E93" s="307" t="e">
        <f t="shared" si="4"/>
        <v>#REF!</v>
      </c>
      <c r="F93" s="307" t="e">
        <f t="shared" si="4"/>
        <v>#REF!</v>
      </c>
      <c r="G93" s="307" t="e">
        <f t="shared" si="4"/>
        <v>#REF!</v>
      </c>
      <c r="H93" s="307" t="e">
        <f t="shared" si="4"/>
        <v>#REF!</v>
      </c>
      <c r="I93" s="307"/>
      <c r="J93" s="307"/>
      <c r="K93" s="307"/>
      <c r="L93" s="307"/>
      <c r="M93" s="311">
        <f>+M91-M92</f>
        <v>1670216</v>
      </c>
      <c r="N93" s="311">
        <f>+N91-N92</f>
        <v>1735016</v>
      </c>
      <c r="O93" s="311">
        <f>+O91-O92</f>
        <v>718246</v>
      </c>
      <c r="P93" s="311">
        <f>+P91-P92</f>
        <v>1409196</v>
      </c>
      <c r="Q93" s="312">
        <f>+Q91-Q92</f>
        <v>2517026</v>
      </c>
    </row>
    <row r="94" spans="1:17" ht="15.7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</row>
    <row r="95" ht="15.75">
      <c r="A95" s="86"/>
    </row>
    <row r="97" spans="2:17" ht="15.75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04"/>
      <c r="Q97" s="104"/>
    </row>
    <row r="98" spans="2:17" ht="15.75"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04"/>
      <c r="Q98" s="104"/>
    </row>
    <row r="99" spans="2:17" ht="15.75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04"/>
      <c r="Q99" s="104"/>
    </row>
    <row r="100" spans="2:17" ht="15.75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04"/>
      <c r="Q100" s="104"/>
    </row>
    <row r="101" spans="2:17" ht="15.75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04"/>
      <c r="Q101" s="104"/>
    </row>
    <row r="102" spans="2:17" ht="15.75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04"/>
      <c r="Q102" s="104"/>
    </row>
    <row r="103" spans="2:17" ht="15.75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04"/>
      <c r="Q103" s="104"/>
    </row>
    <row r="104" spans="2:17" ht="15.75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</row>
    <row r="105" spans="2:17" ht="15.75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</row>
    <row r="106" spans="2:17" ht="15.75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</row>
    <row r="107" spans="2:17" ht="15.75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</row>
    <row r="108" spans="2:17" ht="15.75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</row>
    <row r="109" spans="2:17" ht="15.75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</row>
    <row r="110" spans="2:17" ht="15.75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7">
      <selection activeCell="A6" sqref="A6:F33"/>
    </sheetView>
  </sheetViews>
  <sheetFormatPr defaultColWidth="9.00390625" defaultRowHeight="15.75"/>
  <cols>
    <col min="1" max="1" width="39.625" style="142" customWidth="1"/>
    <col min="2" max="2" width="13.00390625" style="142" bestFit="1" customWidth="1"/>
    <col min="3" max="6" width="12.375" style="142" bestFit="1" customWidth="1"/>
    <col min="7" max="16384" width="9.00390625" style="142" customWidth="1"/>
  </cols>
  <sheetData>
    <row r="1" ht="15.75">
      <c r="A1" s="289" t="s">
        <v>410</v>
      </c>
    </row>
    <row r="2" ht="15.75">
      <c r="A2" s="290" t="s">
        <v>411</v>
      </c>
    </row>
    <row r="3" ht="15.75">
      <c r="A3" s="289" t="s">
        <v>412</v>
      </c>
    </row>
    <row r="4" ht="15.75">
      <c r="A4" s="291" t="s">
        <v>543</v>
      </c>
    </row>
    <row r="6" spans="1:6" ht="15.75">
      <c r="A6" s="234" t="s">
        <v>0</v>
      </c>
      <c r="B6" s="235">
        <v>2019</v>
      </c>
      <c r="C6" s="235">
        <v>2020</v>
      </c>
      <c r="D6" s="235">
        <v>2021</v>
      </c>
      <c r="E6" s="235">
        <v>2022</v>
      </c>
      <c r="F6" s="236">
        <v>2023</v>
      </c>
    </row>
    <row r="7" spans="1:6" ht="15.75">
      <c r="A7" s="187" t="s">
        <v>391</v>
      </c>
      <c r="B7" s="298">
        <v>1422427</v>
      </c>
      <c r="C7" s="298">
        <v>831197</v>
      </c>
      <c r="D7" s="298">
        <v>558277</v>
      </c>
      <c r="E7" s="298">
        <v>417737</v>
      </c>
      <c r="F7" s="300">
        <v>187117</v>
      </c>
    </row>
    <row r="8" spans="1:6" ht="15.75">
      <c r="A8" s="72" t="s">
        <v>3</v>
      </c>
      <c r="B8" s="292"/>
      <c r="C8" s="292"/>
      <c r="D8" s="292"/>
      <c r="E8" s="292"/>
      <c r="F8" s="301"/>
    </row>
    <row r="9" spans="1:6" ht="15.75">
      <c r="A9" s="191" t="s">
        <v>486</v>
      </c>
      <c r="B9" s="211">
        <v>1423000</v>
      </c>
      <c r="C9" s="211">
        <v>1553000</v>
      </c>
      <c r="D9" s="211">
        <v>1637000</v>
      </c>
      <c r="E9" s="211">
        <v>1724000</v>
      </c>
      <c r="F9" s="217">
        <v>1811000</v>
      </c>
    </row>
    <row r="10" spans="1:6" ht="15.75">
      <c r="A10" s="73"/>
      <c r="B10" s="295"/>
      <c r="C10" s="295"/>
      <c r="D10" s="295"/>
      <c r="E10" s="295"/>
      <c r="F10" s="302"/>
    </row>
    <row r="11" spans="1:6" ht="20.25">
      <c r="A11" s="193" t="s">
        <v>4</v>
      </c>
      <c r="B11" s="181">
        <f>SUM(B9:B9)</f>
        <v>1423000</v>
      </c>
      <c r="C11" s="181">
        <f>SUM(C9:C9)</f>
        <v>1553000</v>
      </c>
      <c r="D11" s="181">
        <f>SUM(D9:D9)</f>
        <v>1637000</v>
      </c>
      <c r="E11" s="181">
        <f>SUM(E9:E9)</f>
        <v>1724000</v>
      </c>
      <c r="F11" s="194">
        <f>SUM(F9:F10)</f>
        <v>1811000</v>
      </c>
    </row>
    <row r="12" spans="1:6" ht="15.75">
      <c r="A12" s="72" t="s">
        <v>487</v>
      </c>
      <c r="B12" s="104"/>
      <c r="C12" s="104"/>
      <c r="D12" s="104"/>
      <c r="E12" s="104"/>
      <c r="F12" s="109"/>
    </row>
    <row r="13" spans="1:6" ht="15.75">
      <c r="A13" s="73" t="s">
        <v>490</v>
      </c>
      <c r="B13" s="211">
        <v>1726730</v>
      </c>
      <c r="C13" s="211">
        <v>1785920</v>
      </c>
      <c r="D13" s="211">
        <v>1842540</v>
      </c>
      <c r="E13" s="211">
        <v>1899620</v>
      </c>
      <c r="F13" s="217">
        <v>1957500</v>
      </c>
    </row>
    <row r="14" spans="1:6" ht="15.75">
      <c r="A14" s="317" t="s">
        <v>585</v>
      </c>
      <c r="B14" s="211"/>
      <c r="C14" s="323">
        <v>75000</v>
      </c>
      <c r="D14" s="323">
        <v>75000</v>
      </c>
      <c r="E14" s="323">
        <v>75000</v>
      </c>
      <c r="F14" s="324">
        <v>75000</v>
      </c>
    </row>
    <row r="15" spans="1:6" ht="15.75">
      <c r="A15" s="318" t="s">
        <v>545</v>
      </c>
      <c r="B15" s="211">
        <v>160000</v>
      </c>
      <c r="C15" s="211"/>
      <c r="D15" s="211"/>
      <c r="E15" s="211"/>
      <c r="F15" s="217"/>
    </row>
    <row r="16" spans="1:6" ht="15.75">
      <c r="A16" s="318" t="s">
        <v>546</v>
      </c>
      <c r="B16" s="211">
        <v>72500</v>
      </c>
      <c r="C16" s="211"/>
      <c r="D16" s="211"/>
      <c r="E16" s="211"/>
      <c r="F16" s="217"/>
    </row>
    <row r="17" spans="1:6" ht="15.75">
      <c r="A17" s="319" t="s">
        <v>586</v>
      </c>
      <c r="B17" s="211"/>
      <c r="C17" s="211"/>
      <c r="D17" s="211"/>
      <c r="E17" s="211"/>
      <c r="F17" s="217"/>
    </row>
    <row r="18" spans="1:6" ht="15.75">
      <c r="A18" s="318" t="s">
        <v>556</v>
      </c>
      <c r="B18" s="211">
        <v>50000</v>
      </c>
      <c r="C18" s="211">
        <v>50000</v>
      </c>
      <c r="D18" s="211">
        <v>50000</v>
      </c>
      <c r="E18" s="211">
        <v>50000</v>
      </c>
      <c r="F18" s="217">
        <v>50000</v>
      </c>
    </row>
    <row r="19" spans="1:6" ht="15.75">
      <c r="A19" s="318" t="s">
        <v>584</v>
      </c>
      <c r="B19" s="211">
        <v>50000</v>
      </c>
      <c r="C19" s="211"/>
      <c r="D19" s="211"/>
      <c r="E19" s="211">
        <f>500000</f>
        <v>500000</v>
      </c>
      <c r="F19" s="217"/>
    </row>
    <row r="20" spans="1:6" ht="15.75">
      <c r="A20" s="318" t="s">
        <v>583</v>
      </c>
      <c r="B20" s="211"/>
      <c r="C20" s="323"/>
      <c r="D20" s="323"/>
      <c r="E20" s="323"/>
      <c r="F20" s="324">
        <v>150000</v>
      </c>
    </row>
    <row r="21" spans="1:6" ht="15.75">
      <c r="A21" s="318" t="s">
        <v>548</v>
      </c>
      <c r="B21" s="211"/>
      <c r="C21" s="323">
        <v>100000</v>
      </c>
      <c r="D21" s="323"/>
      <c r="E21" s="323"/>
      <c r="F21" s="324"/>
    </row>
    <row r="22" spans="1:6" ht="15.75">
      <c r="A22" s="318" t="s">
        <v>549</v>
      </c>
      <c r="B22" s="211">
        <v>50000</v>
      </c>
      <c r="C22" s="323"/>
      <c r="D22" s="323"/>
      <c r="E22" s="323"/>
      <c r="F22" s="324"/>
    </row>
    <row r="23" spans="1:6" ht="15.75">
      <c r="A23" s="318" t="s">
        <v>550</v>
      </c>
      <c r="B23" s="211">
        <v>375000</v>
      </c>
      <c r="C23" s="323">
        <v>250000</v>
      </c>
      <c r="D23" s="323"/>
      <c r="E23" s="323"/>
      <c r="F23" s="324"/>
    </row>
    <row r="24" spans="1:6" ht="15.75">
      <c r="A24" s="318" t="s">
        <v>551</v>
      </c>
      <c r="B24" s="211">
        <v>10000</v>
      </c>
      <c r="C24" s="323"/>
      <c r="D24" s="323"/>
      <c r="E24" s="323"/>
      <c r="F24" s="324"/>
    </row>
    <row r="25" spans="1:6" ht="15.75">
      <c r="A25" s="318" t="s">
        <v>552</v>
      </c>
      <c r="B25" s="211"/>
      <c r="C25" s="323">
        <v>75000</v>
      </c>
      <c r="D25" s="323"/>
      <c r="E25" s="323"/>
      <c r="F25" s="324"/>
    </row>
    <row r="26" spans="1:6" ht="15.75">
      <c r="A26" s="318" t="s">
        <v>553</v>
      </c>
      <c r="B26" s="211"/>
      <c r="C26" s="323"/>
      <c r="D26" s="323">
        <f>350000</f>
        <v>350000</v>
      </c>
      <c r="E26" s="323"/>
      <c r="F26" s="324"/>
    </row>
    <row r="27" spans="1:6" ht="15.75">
      <c r="A27" s="320" t="s">
        <v>555</v>
      </c>
      <c r="B27" s="323"/>
      <c r="C27" s="323"/>
      <c r="D27" s="323"/>
      <c r="E27" s="323"/>
      <c r="F27" s="324">
        <v>250000</v>
      </c>
    </row>
    <row r="28" spans="1:6" ht="15.75">
      <c r="A28" s="193"/>
      <c r="F28" s="143"/>
    </row>
    <row r="29" spans="1:6" ht="20.25">
      <c r="A29" s="193" t="s">
        <v>489</v>
      </c>
      <c r="B29" s="181">
        <f>SUM(B13:B27)</f>
        <v>2494230</v>
      </c>
      <c r="C29" s="181">
        <f>SUM(C13:C27)</f>
        <v>2335920</v>
      </c>
      <c r="D29" s="181">
        <f>SUM(D13:D27)</f>
        <v>2317540</v>
      </c>
      <c r="E29" s="181">
        <f>SUM(E13:E27)</f>
        <v>2524620</v>
      </c>
      <c r="F29" s="194">
        <f>SUM(F13:F27)</f>
        <v>2482500</v>
      </c>
    </row>
    <row r="30" spans="1:6" ht="15.75">
      <c r="A30" s="73"/>
      <c r="B30" s="180"/>
      <c r="C30" s="180"/>
      <c r="D30" s="180"/>
      <c r="E30" s="180"/>
      <c r="F30" s="209"/>
    </row>
    <row r="31" spans="1:6" ht="15.75">
      <c r="A31" s="193" t="s">
        <v>482</v>
      </c>
      <c r="B31" s="180">
        <f>B11-B29</f>
        <v>-1071230</v>
      </c>
      <c r="C31" s="180">
        <f>C11-C29</f>
        <v>-782920</v>
      </c>
      <c r="D31" s="180">
        <f>D11-D29</f>
        <v>-680540</v>
      </c>
      <c r="E31" s="180">
        <f>E11-E29</f>
        <v>-800620</v>
      </c>
      <c r="F31" s="209">
        <f>F11-F29</f>
        <v>-671500</v>
      </c>
    </row>
    <row r="32" spans="1:6" ht="15.75">
      <c r="A32" s="193"/>
      <c r="B32" s="172"/>
      <c r="C32" s="172"/>
      <c r="D32" s="172"/>
      <c r="E32" s="172"/>
      <c r="F32" s="195"/>
    </row>
    <row r="33" spans="1:6" ht="20.25">
      <c r="A33" s="239" t="s">
        <v>483</v>
      </c>
      <c r="B33" s="321">
        <f>B7+B31</f>
        <v>351197</v>
      </c>
      <c r="C33" s="321">
        <f>C7+C31</f>
        <v>48277</v>
      </c>
      <c r="D33" s="321">
        <f>D7+D31</f>
        <v>-122263</v>
      </c>
      <c r="E33" s="321">
        <f>E7+E31</f>
        <v>-382883</v>
      </c>
      <c r="F33" s="322">
        <f>F7+F31</f>
        <v>-484383</v>
      </c>
    </row>
    <row r="34" spans="1:6" ht="15.75">
      <c r="A34" s="172"/>
      <c r="B34" s="172"/>
      <c r="C34" s="172"/>
      <c r="D34" s="172"/>
      <c r="E34" s="172"/>
      <c r="F34" s="172"/>
    </row>
    <row r="35" ht="15.75">
      <c r="A35" s="86"/>
    </row>
    <row r="37" spans="2:6" ht="15.75">
      <c r="B37" s="172"/>
      <c r="C37" s="172"/>
      <c r="D37" s="172"/>
      <c r="E37" s="104"/>
      <c r="F37" s="104"/>
    </row>
    <row r="38" spans="2:6" ht="15.75">
      <c r="B38" s="172"/>
      <c r="C38" s="172"/>
      <c r="D38" s="172"/>
      <c r="E38" s="104"/>
      <c r="F38" s="104"/>
    </row>
    <row r="39" spans="2:6" ht="15.75">
      <c r="B39" s="172"/>
      <c r="C39" s="172"/>
      <c r="D39" s="172"/>
      <c r="E39" s="104"/>
      <c r="F39" s="104"/>
    </row>
    <row r="40" spans="2:6" ht="15.75">
      <c r="B40" s="172"/>
      <c r="C40" s="172"/>
      <c r="D40" s="172"/>
      <c r="E40" s="104"/>
      <c r="F40" s="104"/>
    </row>
    <row r="41" spans="2:6" ht="15.75">
      <c r="B41" s="172"/>
      <c r="C41" s="172"/>
      <c r="D41" s="172"/>
      <c r="E41" s="104"/>
      <c r="F41" s="104"/>
    </row>
    <row r="42" spans="2:6" ht="15.75">
      <c r="B42" s="172"/>
      <c r="C42" s="172"/>
      <c r="D42" s="172"/>
      <c r="E42" s="104"/>
      <c r="F42" s="104"/>
    </row>
    <row r="43" spans="2:6" ht="15.75">
      <c r="B43" s="172"/>
      <c r="C43" s="172"/>
      <c r="D43" s="172"/>
      <c r="E43" s="104"/>
      <c r="F43" s="104"/>
    </row>
    <row r="44" spans="2:6" ht="15.75">
      <c r="B44" s="172"/>
      <c r="C44" s="172"/>
      <c r="D44" s="172"/>
      <c r="E44" s="172"/>
      <c r="F44" s="172"/>
    </row>
    <row r="45" spans="2:6" ht="15.75">
      <c r="B45" s="172"/>
      <c r="C45" s="172"/>
      <c r="D45" s="172"/>
      <c r="E45" s="172"/>
      <c r="F45" s="172"/>
    </row>
    <row r="46" spans="2:6" ht="15.75">
      <c r="B46" s="172"/>
      <c r="C46" s="172"/>
      <c r="D46" s="172"/>
      <c r="E46" s="172"/>
      <c r="F46" s="172"/>
    </row>
    <row r="47" spans="2:6" ht="15.75">
      <c r="B47" s="172"/>
      <c r="C47" s="172"/>
      <c r="D47" s="172"/>
      <c r="E47" s="172"/>
      <c r="F47" s="172"/>
    </row>
    <row r="48" spans="2:6" ht="15.75">
      <c r="B48" s="172"/>
      <c r="C48" s="172"/>
      <c r="D48" s="172"/>
      <c r="E48" s="172"/>
      <c r="F48" s="172"/>
    </row>
    <row r="49" spans="2:6" ht="15.75">
      <c r="B49" s="172"/>
      <c r="C49" s="172"/>
      <c r="D49" s="172"/>
      <c r="E49" s="172"/>
      <c r="F49" s="172"/>
    </row>
    <row r="50" spans="2:6" ht="15.75">
      <c r="B50" s="172"/>
      <c r="C50" s="172"/>
      <c r="D50" s="172"/>
      <c r="E50" s="172"/>
      <c r="F50" s="172"/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 topLeftCell="A7">
      <selection activeCell="J23" sqref="J23"/>
    </sheetView>
  </sheetViews>
  <sheetFormatPr defaultColWidth="9.00390625" defaultRowHeight="15.75"/>
  <cols>
    <col min="1" max="1" width="44.625" style="142" bestFit="1" customWidth="1"/>
    <col min="2" max="2" width="13.00390625" style="142" bestFit="1" customWidth="1"/>
    <col min="3" max="6" width="12.375" style="142" bestFit="1" customWidth="1"/>
    <col min="7" max="16384" width="9.00390625" style="142" customWidth="1"/>
  </cols>
  <sheetData>
    <row r="1" ht="15.75">
      <c r="A1" s="289" t="s">
        <v>410</v>
      </c>
    </row>
    <row r="2" ht="15.75">
      <c r="A2" s="290" t="s">
        <v>411</v>
      </c>
    </row>
    <row r="3" ht="15.75">
      <c r="A3" s="289" t="s">
        <v>412</v>
      </c>
    </row>
    <row r="4" ht="15.75">
      <c r="A4" s="291" t="s">
        <v>558</v>
      </c>
    </row>
    <row r="6" spans="1:6" ht="15.75">
      <c r="A6" s="234" t="s">
        <v>0</v>
      </c>
      <c r="B6" s="235">
        <v>2019</v>
      </c>
      <c r="C6" s="235">
        <v>2020</v>
      </c>
      <c r="D6" s="235">
        <v>2021</v>
      </c>
      <c r="E6" s="235">
        <v>2022</v>
      </c>
      <c r="F6" s="236">
        <v>2023</v>
      </c>
    </row>
    <row r="7" spans="1:6" ht="15.75">
      <c r="A7" s="187" t="s">
        <v>391</v>
      </c>
      <c r="B7" s="298">
        <v>1422427</v>
      </c>
      <c r="C7" s="298">
        <v>831197</v>
      </c>
      <c r="D7" s="298">
        <v>558277</v>
      </c>
      <c r="E7" s="298">
        <v>417737</v>
      </c>
      <c r="F7" s="300">
        <v>187117</v>
      </c>
    </row>
    <row r="8" spans="1:6" ht="15.75">
      <c r="A8" s="72" t="s">
        <v>3</v>
      </c>
      <c r="B8" s="292"/>
      <c r="C8" s="292"/>
      <c r="D8" s="292"/>
      <c r="E8" s="292"/>
      <c r="F8" s="301"/>
    </row>
    <row r="9" spans="1:6" ht="15.75">
      <c r="A9" s="191" t="s">
        <v>486</v>
      </c>
      <c r="B9" s="211">
        <v>1423000</v>
      </c>
      <c r="C9" s="211">
        <v>1553000</v>
      </c>
      <c r="D9" s="211">
        <v>1637000</v>
      </c>
      <c r="E9" s="211">
        <v>1724000</v>
      </c>
      <c r="F9" s="217">
        <v>1811000</v>
      </c>
    </row>
    <row r="10" spans="1:6" ht="15.75">
      <c r="A10" s="73"/>
      <c r="B10" s="295"/>
      <c r="C10" s="295"/>
      <c r="D10" s="295"/>
      <c r="E10" s="295"/>
      <c r="F10" s="302"/>
    </row>
    <row r="11" spans="1:6" ht="20.25">
      <c r="A11" s="193" t="s">
        <v>4</v>
      </c>
      <c r="B11" s="181">
        <f>SUM(B9:B9)</f>
        <v>1423000</v>
      </c>
      <c r="C11" s="181">
        <f>SUM(C9:C9)</f>
        <v>1553000</v>
      </c>
      <c r="D11" s="181">
        <f>SUM(D9:D9)</f>
        <v>1637000</v>
      </c>
      <c r="E11" s="181">
        <f>SUM(E9:E9)</f>
        <v>1724000</v>
      </c>
      <c r="F11" s="194">
        <f>SUM(F9:F10)</f>
        <v>1811000</v>
      </c>
    </row>
    <row r="12" spans="1:6" ht="15.75">
      <c r="A12" s="72" t="s">
        <v>487</v>
      </c>
      <c r="B12" s="104"/>
      <c r="C12" s="104"/>
      <c r="D12" s="104"/>
      <c r="E12" s="104"/>
      <c r="F12" s="109"/>
    </row>
    <row r="13" spans="1:6" ht="15.75">
      <c r="A13" s="73" t="s">
        <v>490</v>
      </c>
      <c r="B13" s="211">
        <v>1726730</v>
      </c>
      <c r="C13" s="211">
        <v>1785920</v>
      </c>
      <c r="D13" s="211">
        <v>1842540</v>
      </c>
      <c r="E13" s="211">
        <v>1899620</v>
      </c>
      <c r="F13" s="217">
        <v>1957500</v>
      </c>
    </row>
    <row r="14" spans="1:6" ht="15.75">
      <c r="A14" s="317" t="s">
        <v>554</v>
      </c>
      <c r="B14" s="211"/>
      <c r="C14" s="323">
        <v>75000</v>
      </c>
      <c r="D14" s="323">
        <v>75000</v>
      </c>
      <c r="E14" s="323">
        <v>75000</v>
      </c>
      <c r="F14" s="324">
        <v>75000</v>
      </c>
    </row>
    <row r="15" spans="1:6" ht="15.75">
      <c r="A15" s="318" t="s">
        <v>545</v>
      </c>
      <c r="B15" s="211">
        <v>160000</v>
      </c>
      <c r="C15" s="211"/>
      <c r="D15" s="211"/>
      <c r="E15" s="211"/>
      <c r="F15" s="217"/>
    </row>
    <row r="16" spans="1:6" ht="15.75">
      <c r="A16" s="318" t="s">
        <v>546</v>
      </c>
      <c r="B16" s="211">
        <v>72500</v>
      </c>
      <c r="C16" s="211"/>
      <c r="D16" s="211"/>
      <c r="E16" s="211"/>
      <c r="F16" s="217"/>
    </row>
    <row r="17" spans="1:6" ht="15.75">
      <c r="A17" s="318"/>
      <c r="B17" s="211"/>
      <c r="C17" s="211"/>
      <c r="D17" s="211"/>
      <c r="E17" s="211"/>
      <c r="F17" s="217"/>
    </row>
    <row r="18" spans="1:6" ht="15.75">
      <c r="A18" s="319" t="s">
        <v>426</v>
      </c>
      <c r="B18" s="211"/>
      <c r="C18" s="211"/>
      <c r="D18" s="211"/>
      <c r="E18" s="211"/>
      <c r="F18" s="217"/>
    </row>
    <row r="19" spans="1:6" ht="15.75">
      <c r="A19" s="318" t="s">
        <v>556</v>
      </c>
      <c r="B19" s="211">
        <v>50000</v>
      </c>
      <c r="C19" s="211">
        <v>50000</v>
      </c>
      <c r="D19" s="211">
        <v>50000</v>
      </c>
      <c r="E19" s="211">
        <v>50000</v>
      </c>
      <c r="F19" s="217">
        <v>50000</v>
      </c>
    </row>
    <row r="20" spans="1:6" ht="15.75">
      <c r="A20" s="318" t="s">
        <v>557</v>
      </c>
      <c r="B20" s="211">
        <v>50000</v>
      </c>
      <c r="C20" s="211"/>
      <c r="D20" s="211"/>
      <c r="E20" s="211">
        <f>500000</f>
        <v>500000</v>
      </c>
      <c r="F20" s="217"/>
    </row>
    <row r="21" spans="1:6" ht="15.75">
      <c r="A21" s="318" t="s">
        <v>547</v>
      </c>
      <c r="B21" s="211"/>
      <c r="C21" s="323"/>
      <c r="D21" s="323"/>
      <c r="E21" s="323"/>
      <c r="F21" s="324">
        <v>150000</v>
      </c>
    </row>
    <row r="22" spans="1:6" ht="15.75">
      <c r="A22" s="318" t="s">
        <v>548</v>
      </c>
      <c r="B22" s="211"/>
      <c r="C22" s="323">
        <v>100000</v>
      </c>
      <c r="D22" s="323"/>
      <c r="E22" s="323"/>
      <c r="F22" s="324"/>
    </row>
    <row r="23" spans="1:6" ht="15.75">
      <c r="A23" s="318" t="s">
        <v>549</v>
      </c>
      <c r="B23" s="211">
        <v>50000</v>
      </c>
      <c r="C23" s="323"/>
      <c r="D23" s="323"/>
      <c r="E23" s="323"/>
      <c r="F23" s="324"/>
    </row>
    <row r="24" spans="1:6" ht="15.75">
      <c r="A24" s="318" t="s">
        <v>550</v>
      </c>
      <c r="B24" s="211">
        <v>375000</v>
      </c>
      <c r="C24" s="323">
        <v>250000</v>
      </c>
      <c r="D24" s="323"/>
      <c r="E24" s="323"/>
      <c r="F24" s="324"/>
    </row>
    <row r="25" spans="1:6" ht="15.75">
      <c r="A25" s="318" t="s">
        <v>551</v>
      </c>
      <c r="B25" s="211">
        <v>10000</v>
      </c>
      <c r="C25" s="323"/>
      <c r="D25" s="323"/>
      <c r="E25" s="323"/>
      <c r="F25" s="324"/>
    </row>
    <row r="26" spans="1:6" ht="15.75">
      <c r="A26" s="318" t="s">
        <v>552</v>
      </c>
      <c r="B26" s="211"/>
      <c r="C26" s="323">
        <v>75000</v>
      </c>
      <c r="D26" s="323"/>
      <c r="E26" s="323"/>
      <c r="F26" s="324"/>
    </row>
    <row r="27" spans="1:6" ht="15.75">
      <c r="A27" s="318" t="s">
        <v>553</v>
      </c>
      <c r="B27" s="211"/>
      <c r="C27" s="323"/>
      <c r="D27" s="323">
        <f>350000</f>
        <v>350000</v>
      </c>
      <c r="E27" s="323"/>
      <c r="F27" s="324"/>
    </row>
    <row r="28" spans="1:6" ht="15.75">
      <c r="A28" s="320" t="s">
        <v>555</v>
      </c>
      <c r="B28" s="323"/>
      <c r="C28" s="323"/>
      <c r="D28" s="323"/>
      <c r="E28" s="323"/>
      <c r="F28" s="324">
        <v>250000</v>
      </c>
    </row>
    <row r="29" spans="1:6" ht="15.75">
      <c r="A29" s="193"/>
      <c r="F29" s="143"/>
    </row>
    <row r="30" spans="1:6" ht="20.25">
      <c r="A30" s="193" t="s">
        <v>489</v>
      </c>
      <c r="B30" s="181">
        <f>SUM(B13:B28)</f>
        <v>2494230</v>
      </c>
      <c r="C30" s="181">
        <f>SUM(C13:C28)</f>
        <v>2335920</v>
      </c>
      <c r="D30" s="181">
        <f>SUM(D13:D28)</f>
        <v>2317540</v>
      </c>
      <c r="E30" s="181">
        <f>SUM(E13:E28)</f>
        <v>2524620</v>
      </c>
      <c r="F30" s="194">
        <f>SUM(F13:F28)</f>
        <v>2482500</v>
      </c>
    </row>
    <row r="31" spans="1:6" ht="15.75">
      <c r="A31" s="73"/>
      <c r="B31" s="180"/>
      <c r="C31" s="180"/>
      <c r="D31" s="180"/>
      <c r="E31" s="180"/>
      <c r="F31" s="209"/>
    </row>
    <row r="32" spans="1:6" ht="15.75">
      <c r="A32" s="193" t="s">
        <v>482</v>
      </c>
      <c r="B32" s="180">
        <f>B11-B30</f>
        <v>-1071230</v>
      </c>
      <c r="C32" s="180">
        <f>C11-C30</f>
        <v>-782920</v>
      </c>
      <c r="D32" s="180">
        <f>D11-D30</f>
        <v>-680540</v>
      </c>
      <c r="E32" s="180">
        <f>E11-E30</f>
        <v>-800620</v>
      </c>
      <c r="F32" s="209">
        <f>F11-F30</f>
        <v>-671500</v>
      </c>
    </row>
    <row r="33" spans="1:6" ht="15.75">
      <c r="A33" s="193"/>
      <c r="B33" s="172"/>
      <c r="C33" s="172"/>
      <c r="D33" s="172"/>
      <c r="E33" s="172"/>
      <c r="F33" s="195"/>
    </row>
    <row r="34" spans="1:6" ht="20.25">
      <c r="A34" s="239" t="s">
        <v>483</v>
      </c>
      <c r="B34" s="321">
        <f>B7+B32</f>
        <v>351197</v>
      </c>
      <c r="C34" s="321">
        <f>C7+C32</f>
        <v>48277</v>
      </c>
      <c r="D34" s="321">
        <f>D7+D32</f>
        <v>-122263</v>
      </c>
      <c r="E34" s="321">
        <f>E7+E32</f>
        <v>-382883</v>
      </c>
      <c r="F34" s="322">
        <f>F7+F32</f>
        <v>-484383</v>
      </c>
    </row>
    <row r="35" spans="1:6" ht="15.75">
      <c r="A35" s="172"/>
      <c r="B35" s="172"/>
      <c r="C35" s="172"/>
      <c r="D35" s="172"/>
      <c r="E35" s="172"/>
      <c r="F35" s="172"/>
    </row>
    <row r="36" ht="15.75">
      <c r="A36" s="86"/>
    </row>
    <row r="38" spans="2:6" ht="15.75">
      <c r="B38" s="172"/>
      <c r="C38" s="172"/>
      <c r="D38" s="172"/>
      <c r="E38" s="104"/>
      <c r="F38" s="104"/>
    </row>
    <row r="39" spans="2:6" ht="15.75">
      <c r="B39" s="172"/>
      <c r="C39" s="172"/>
      <c r="D39" s="172"/>
      <c r="E39" s="104"/>
      <c r="F39" s="104"/>
    </row>
    <row r="40" spans="2:6" ht="15.75">
      <c r="B40" s="172"/>
      <c r="C40" s="172"/>
      <c r="D40" s="172"/>
      <c r="E40" s="104"/>
      <c r="F40" s="104"/>
    </row>
    <row r="41" spans="2:6" ht="15.75">
      <c r="B41" s="172"/>
      <c r="C41" s="172"/>
      <c r="D41" s="172"/>
      <c r="E41" s="104"/>
      <c r="F41" s="104"/>
    </row>
    <row r="42" spans="2:6" ht="15.75">
      <c r="B42" s="172"/>
      <c r="C42" s="172"/>
      <c r="D42" s="172"/>
      <c r="E42" s="104"/>
      <c r="F42" s="104"/>
    </row>
    <row r="43" spans="2:6" ht="15.75">
      <c r="B43" s="172"/>
      <c r="C43" s="172"/>
      <c r="D43" s="172"/>
      <c r="E43" s="104"/>
      <c r="F43" s="104"/>
    </row>
    <row r="44" spans="2:6" ht="15.75">
      <c r="B44" s="172"/>
      <c r="C44" s="172"/>
      <c r="D44" s="172"/>
      <c r="E44" s="104"/>
      <c r="F44" s="104"/>
    </row>
    <row r="45" spans="2:6" ht="15.75">
      <c r="B45" s="172"/>
      <c r="C45" s="172"/>
      <c r="D45" s="172"/>
      <c r="E45" s="172"/>
      <c r="F45" s="172"/>
    </row>
    <row r="46" spans="2:6" ht="15.75">
      <c r="B46" s="172"/>
      <c r="C46" s="172"/>
      <c r="D46" s="172"/>
      <c r="E46" s="172"/>
      <c r="F46" s="172"/>
    </row>
    <row r="47" spans="2:6" ht="15.75">
      <c r="B47" s="172"/>
      <c r="C47" s="172"/>
      <c r="D47" s="172"/>
      <c r="E47" s="172"/>
      <c r="F47" s="172"/>
    </row>
    <row r="48" spans="2:6" ht="15.75">
      <c r="B48" s="172"/>
      <c r="C48" s="172"/>
      <c r="D48" s="172"/>
      <c r="E48" s="172"/>
      <c r="F48" s="172"/>
    </row>
    <row r="49" spans="2:6" ht="15.75">
      <c r="B49" s="172"/>
      <c r="C49" s="172"/>
      <c r="D49" s="172"/>
      <c r="E49" s="172"/>
      <c r="F49" s="172"/>
    </row>
    <row r="50" spans="2:6" ht="15.75">
      <c r="B50" s="172"/>
      <c r="C50" s="172"/>
      <c r="D50" s="172"/>
      <c r="E50" s="172"/>
      <c r="F50" s="172"/>
    </row>
    <row r="51" spans="2:6" ht="15.75">
      <c r="B51" s="172"/>
      <c r="C51" s="172"/>
      <c r="D51" s="172"/>
      <c r="E51" s="172"/>
      <c r="F51" s="17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 topLeftCell="A1">
      <selection activeCell="L18" sqref="L18"/>
    </sheetView>
  </sheetViews>
  <sheetFormatPr defaultColWidth="9.00390625" defaultRowHeight="15.75"/>
  <cols>
    <col min="1" max="1" width="31.625" style="0" bestFit="1" customWidth="1"/>
    <col min="2" max="2" width="11.625" style="0" bestFit="1" customWidth="1"/>
    <col min="3" max="7" width="11.125" style="0" bestFit="1" customWidth="1"/>
  </cols>
  <sheetData>
    <row r="1" ht="15.75">
      <c r="A1" s="1" t="s">
        <v>14</v>
      </c>
    </row>
    <row r="3" ht="15.75">
      <c r="A3" t="s">
        <v>0</v>
      </c>
    </row>
    <row r="5" spans="2:7" ht="15.75">
      <c r="B5" s="4">
        <v>2018</v>
      </c>
      <c r="C5" s="4">
        <f>B5+1</f>
        <v>2019</v>
      </c>
      <c r="D5" s="4">
        <f>C5+1</f>
        <v>2020</v>
      </c>
      <c r="E5" s="4">
        <f>D5+1</f>
        <v>2021</v>
      </c>
      <c r="F5" s="4">
        <f>E5+1</f>
        <v>2022</v>
      </c>
      <c r="G5" s="4">
        <f>F5+1</f>
        <v>2023</v>
      </c>
    </row>
    <row r="6" spans="1:7" ht="15.75">
      <c r="A6" s="2" t="s">
        <v>19</v>
      </c>
      <c r="B6" s="10">
        <v>5251550</v>
      </c>
      <c r="C6" s="10">
        <f>B37</f>
        <v>2075450</v>
      </c>
      <c r="D6" s="10">
        <f>C37</f>
        <v>2103470</v>
      </c>
      <c r="E6" s="10">
        <f>D37</f>
        <v>2131870</v>
      </c>
      <c r="F6" s="10">
        <f>E37</f>
        <v>2160650</v>
      </c>
      <c r="G6" s="10">
        <f>F37</f>
        <v>2189820</v>
      </c>
    </row>
    <row r="7" spans="1:7" ht="5.25" customHeight="1">
      <c r="A7" s="2"/>
      <c r="B7" s="3"/>
      <c r="C7" s="3"/>
      <c r="D7" s="3"/>
      <c r="E7" s="3"/>
      <c r="F7" s="3"/>
      <c r="G7" s="3"/>
    </row>
    <row r="8" spans="1:10" ht="15.75">
      <c r="A8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</row>
    <row r="10" spans="1:10" ht="15.75">
      <c r="A10" s="5" t="s">
        <v>8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.75">
      <c r="A11" s="5" t="s">
        <v>9</v>
      </c>
      <c r="B11" s="6">
        <f aca="true" t="shared" si="0" ref="B11:G11">ROUND(B6*0.9*0.015,-1)</f>
        <v>70900</v>
      </c>
      <c r="C11" s="6">
        <f t="shared" si="0"/>
        <v>28020</v>
      </c>
      <c r="D11" s="6">
        <f t="shared" si="0"/>
        <v>28400</v>
      </c>
      <c r="E11" s="6">
        <f t="shared" si="0"/>
        <v>28780</v>
      </c>
      <c r="F11" s="6">
        <f t="shared" si="0"/>
        <v>29170</v>
      </c>
      <c r="G11" s="6">
        <f t="shared" si="0"/>
        <v>29560</v>
      </c>
      <c r="H11" s="6"/>
      <c r="I11" s="6"/>
      <c r="J11" s="6"/>
    </row>
    <row r="12" spans="1:10" ht="15.75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0" ht="15.75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spans="1:10" ht="15.75">
      <c r="A14" s="7" t="s">
        <v>4</v>
      </c>
      <c r="B14" s="3">
        <f aca="true" t="shared" si="1" ref="B14:G14">SUM(B8:B13)</f>
        <v>70900</v>
      </c>
      <c r="C14" s="3">
        <f t="shared" si="1"/>
        <v>28020</v>
      </c>
      <c r="D14" s="3">
        <f t="shared" si="1"/>
        <v>28400</v>
      </c>
      <c r="E14" s="3">
        <f t="shared" si="1"/>
        <v>28780</v>
      </c>
      <c r="F14" s="3">
        <f t="shared" si="1"/>
        <v>29170</v>
      </c>
      <c r="G14" s="3">
        <f t="shared" si="1"/>
        <v>29560</v>
      </c>
      <c r="H14" s="3"/>
      <c r="I14" s="3"/>
      <c r="J14" s="6"/>
    </row>
    <row r="15" spans="1:10" ht="5.25" customHeight="1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0" ht="15.75">
      <c r="A16" t="s">
        <v>17</v>
      </c>
      <c r="B16" s="6">
        <v>12000</v>
      </c>
      <c r="C16" s="6"/>
      <c r="D16" s="6"/>
      <c r="E16" s="6"/>
      <c r="F16" s="6"/>
      <c r="G16" s="6"/>
      <c r="H16" s="6"/>
      <c r="I16" s="6"/>
      <c r="J16" s="6"/>
    </row>
    <row r="17" spans="1:10" ht="15.75">
      <c r="A17" t="s">
        <v>1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.75">
      <c r="A18" s="5" t="s">
        <v>11</v>
      </c>
      <c r="B18" s="6">
        <v>550000</v>
      </c>
      <c r="C18" s="6"/>
      <c r="D18" s="6"/>
      <c r="E18" s="6"/>
      <c r="F18" s="6"/>
      <c r="G18" s="6"/>
      <c r="H18" s="6"/>
      <c r="I18" s="6"/>
      <c r="J18" s="6"/>
    </row>
    <row r="19" spans="1:10" ht="15.75">
      <c r="A19" s="5" t="s">
        <v>12</v>
      </c>
      <c r="B19" s="6">
        <v>350000</v>
      </c>
      <c r="C19" s="6"/>
      <c r="D19" s="6"/>
      <c r="E19" s="6"/>
      <c r="F19" s="6"/>
      <c r="G19" s="6"/>
      <c r="H19" s="6"/>
      <c r="I19" s="6"/>
      <c r="J19" s="6"/>
    </row>
    <row r="20" spans="1:10" ht="15.75">
      <c r="A20" s="5" t="s">
        <v>13</v>
      </c>
      <c r="B20" s="6">
        <v>1220000</v>
      </c>
      <c r="C20" s="6"/>
      <c r="D20" s="6"/>
      <c r="E20" s="6"/>
      <c r="F20" s="6"/>
      <c r="G20" s="6"/>
      <c r="H20" s="6"/>
      <c r="I20" s="6"/>
      <c r="J20" s="6"/>
    </row>
    <row r="21" spans="1:10" ht="15.75">
      <c r="A21" s="5" t="s">
        <v>16</v>
      </c>
      <c r="B21" s="6">
        <v>1115000</v>
      </c>
      <c r="C21" s="6"/>
      <c r="D21" s="6"/>
      <c r="E21" s="6"/>
      <c r="F21" s="6"/>
      <c r="G21" s="6"/>
      <c r="H21" s="6"/>
      <c r="I21" s="6"/>
      <c r="J21" s="6"/>
    </row>
    <row r="22" spans="1:10" ht="15.75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ht="15.75">
      <c r="A23" s="5"/>
      <c r="B23" s="6"/>
      <c r="C23" s="6"/>
      <c r="D23" s="6"/>
      <c r="E23" s="6"/>
      <c r="F23" s="6"/>
      <c r="G23" s="6"/>
      <c r="H23" s="6"/>
      <c r="I23" s="6"/>
      <c r="J23" s="6"/>
    </row>
    <row r="24" spans="1:10" ht="15.75">
      <c r="A24" s="5"/>
      <c r="B24" s="6"/>
      <c r="C24" s="6"/>
      <c r="D24" s="6"/>
      <c r="E24" s="6"/>
      <c r="F24" s="6"/>
      <c r="G24" s="6"/>
      <c r="H24" s="6"/>
      <c r="I24" s="6"/>
      <c r="J24" s="6"/>
    </row>
    <row r="25" spans="1:10" ht="15.75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5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5"/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5"/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5"/>
      <c r="B32" s="6"/>
      <c r="C32" s="6"/>
      <c r="D32" s="6"/>
      <c r="E32" s="6"/>
      <c r="F32" s="6"/>
      <c r="G32" s="6"/>
      <c r="H32" s="6"/>
      <c r="I32" s="6"/>
      <c r="J32" s="6"/>
    </row>
    <row r="33" spans="1:9" ht="15.75">
      <c r="A33" s="7" t="s">
        <v>2</v>
      </c>
      <c r="B33" s="3">
        <f aca="true" t="shared" si="2" ref="B33:G33">SUM(B16:B32)</f>
        <v>3247000</v>
      </c>
      <c r="C33" s="3">
        <f t="shared" si="2"/>
        <v>0</v>
      </c>
      <c r="D33" s="3">
        <f t="shared" si="2"/>
        <v>0</v>
      </c>
      <c r="E33" s="3">
        <f t="shared" si="2"/>
        <v>0</v>
      </c>
      <c r="F33" s="3">
        <f t="shared" si="2"/>
        <v>0</v>
      </c>
      <c r="G33" s="3">
        <f t="shared" si="2"/>
        <v>0</v>
      </c>
      <c r="H33" s="3"/>
      <c r="I33" s="3"/>
    </row>
    <row r="34" ht="5.25" customHeight="1"/>
    <row r="35" spans="1:7" ht="15.75">
      <c r="A35" t="s">
        <v>5</v>
      </c>
      <c r="B35" s="8">
        <f aca="true" t="shared" si="3" ref="B35:G35">+B14-B33</f>
        <v>-3176100</v>
      </c>
      <c r="C35" s="8">
        <f t="shared" si="3"/>
        <v>28020</v>
      </c>
      <c r="D35" s="8">
        <f t="shared" si="3"/>
        <v>28400</v>
      </c>
      <c r="E35" s="8">
        <f t="shared" si="3"/>
        <v>28780</v>
      </c>
      <c r="F35" s="8">
        <f t="shared" si="3"/>
        <v>29170</v>
      </c>
      <c r="G35" s="8">
        <f t="shared" si="3"/>
        <v>29560</v>
      </c>
    </row>
    <row r="36" ht="5.25" customHeight="1"/>
    <row r="37" spans="1:7" ht="15.75">
      <c r="A37" s="2" t="s">
        <v>6</v>
      </c>
      <c r="B37" s="9">
        <f aca="true" t="shared" si="4" ref="B37:G37">+B6+B35</f>
        <v>2075450</v>
      </c>
      <c r="C37" s="9">
        <f t="shared" si="4"/>
        <v>2103470</v>
      </c>
      <c r="D37" s="9">
        <f t="shared" si="4"/>
        <v>2131870</v>
      </c>
      <c r="E37" s="9">
        <f t="shared" si="4"/>
        <v>2160650</v>
      </c>
      <c r="F37" s="9">
        <f t="shared" si="4"/>
        <v>2189820</v>
      </c>
      <c r="G37" s="9">
        <f t="shared" si="4"/>
        <v>2219380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G19" sqref="G19"/>
    </sheetView>
  </sheetViews>
  <sheetFormatPr defaultColWidth="9.00390625" defaultRowHeight="15.75"/>
  <cols>
    <col min="1" max="1" width="22.50390625" style="0" bestFit="1" customWidth="1"/>
    <col min="2" max="2" width="20.875" style="0" customWidth="1"/>
    <col min="3" max="7" width="14.625" style="0" bestFit="1" customWidth="1"/>
  </cols>
  <sheetData>
    <row r="1" spans="1:7" s="325" customFormat="1" ht="15.75">
      <c r="A1" s="325" t="s">
        <v>559</v>
      </c>
      <c r="B1" s="325" t="s">
        <v>560</v>
      </c>
      <c r="C1" s="325">
        <v>2019</v>
      </c>
      <c r="D1" s="325">
        <v>2020</v>
      </c>
      <c r="E1" s="325">
        <v>2021</v>
      </c>
      <c r="F1" s="325">
        <v>2022</v>
      </c>
      <c r="G1" s="325">
        <v>2023</v>
      </c>
    </row>
    <row r="2" spans="1:9" ht="15.75">
      <c r="A2" t="s">
        <v>566</v>
      </c>
      <c r="B2" s="327">
        <f>SUM(C2:G2)</f>
        <v>79269200</v>
      </c>
      <c r="C2" s="326">
        <f>Pavement!B9+Storm!B9+Sewer!M9+Water!M9</f>
        <v>14077200</v>
      </c>
      <c r="D2" s="326">
        <f>Pavement!C9+Storm!C9+Sewer!N9+Water!N9</f>
        <v>14975500</v>
      </c>
      <c r="E2" s="326">
        <f>Pavement!D9+Storm!D9+Sewer!O9+Water!O9</f>
        <v>15821500</v>
      </c>
      <c r="F2" s="326">
        <f>Pavement!E9+Storm!E9+Sewer!P9+Water!P9</f>
        <v>16733000</v>
      </c>
      <c r="G2" s="326">
        <f>Pavement!F9+Storm!F9+Sewer!Q9+Water!Q9</f>
        <v>17662000</v>
      </c>
      <c r="H2" s="326"/>
      <c r="I2" s="326"/>
    </row>
    <row r="3" spans="1:9" ht="15.75">
      <c r="A3" t="s">
        <v>561</v>
      </c>
      <c r="B3" s="327">
        <f aca="true" t="shared" si="0" ref="B3:B6">SUM(C3:G3)</f>
        <v>85000</v>
      </c>
      <c r="C3" s="326">
        <f>Sewer!M11</f>
        <v>25000</v>
      </c>
      <c r="D3" s="326">
        <f>Sewer!N11</f>
        <v>15000</v>
      </c>
      <c r="E3" s="326">
        <f>Sewer!O11</f>
        <v>15000</v>
      </c>
      <c r="F3" s="326">
        <f>Sewer!P11</f>
        <v>15000</v>
      </c>
      <c r="G3" s="326">
        <f>Sewer!Q11</f>
        <v>15000</v>
      </c>
      <c r="H3" s="326"/>
      <c r="I3" s="326"/>
    </row>
    <row r="4" spans="1:9" ht="15.75">
      <c r="A4" t="s">
        <v>414</v>
      </c>
      <c r="B4" s="327">
        <f t="shared" si="0"/>
        <v>2440800</v>
      </c>
      <c r="C4" s="326">
        <f>Water!M10</f>
        <v>585000</v>
      </c>
      <c r="D4" s="326">
        <f>Water!N10</f>
        <v>526500</v>
      </c>
      <c r="E4" s="326">
        <f>Water!O10</f>
        <v>473900</v>
      </c>
      <c r="F4" s="326">
        <f>Water!P10</f>
        <v>450200</v>
      </c>
      <c r="G4" s="326">
        <f>Water!Q10</f>
        <v>405200</v>
      </c>
      <c r="H4" s="326"/>
      <c r="I4" s="326"/>
    </row>
    <row r="5" spans="1:9" ht="15.75">
      <c r="A5" t="s">
        <v>562</v>
      </c>
      <c r="B5" s="327">
        <f t="shared" si="0"/>
        <v>2651000</v>
      </c>
      <c r="C5" s="326">
        <f>'Open Space, Trails'!K9</f>
        <v>1001000</v>
      </c>
      <c r="D5" s="326">
        <f>'Open Space, Trails'!M9</f>
        <v>900000</v>
      </c>
      <c r="E5" s="326">
        <f>'Open Space, Trails'!N9</f>
        <v>250000</v>
      </c>
      <c r="F5" s="326">
        <f>'Open Space, Trails'!O9</f>
        <v>250000</v>
      </c>
      <c r="G5" s="326">
        <f>'Open Space, Trails'!P9</f>
        <v>250000</v>
      </c>
      <c r="H5" s="326"/>
      <c r="I5" s="326"/>
    </row>
    <row r="6" spans="1:9" ht="15.75">
      <c r="A6" t="s">
        <v>563</v>
      </c>
      <c r="B6" s="327">
        <f t="shared" si="0"/>
        <v>4872641</v>
      </c>
      <c r="C6" s="326">
        <f>'Open Space, Trails'!K7+'Park Development'!K7</f>
        <v>2052198</v>
      </c>
      <c r="D6" s="326">
        <f>'Open Space, Trails'!M7+'Park Development'!L7</f>
        <v>1137943</v>
      </c>
      <c r="E6" s="326">
        <f>'Open Space, Trails'!N7+'Park Development'!M7</f>
        <v>607500</v>
      </c>
      <c r="F6" s="326">
        <f>'Open Space, Trails'!O7+'Park Development'!N7</f>
        <v>572500</v>
      </c>
      <c r="G6" s="326">
        <f>'Open Space, Trails'!P7+'Park Development'!O7</f>
        <v>502500</v>
      </c>
      <c r="H6" s="326"/>
      <c r="I6" s="326"/>
    </row>
    <row r="7" spans="1:9" ht="15.75">
      <c r="A7" t="s">
        <v>564</v>
      </c>
      <c r="B7" s="327">
        <f>'Capital &amp; Equip Fund'!F10+'Park Development'!K10</f>
        <v>83245.8</v>
      </c>
      <c r="C7" s="327">
        <f>'Capital &amp; Equip Fund'!G10+'Park Development'!L10</f>
        <v>0</v>
      </c>
      <c r="D7" s="327">
        <f>'Capital &amp; Equip Fund'!H10+'Park Development'!M10</f>
        <v>0</v>
      </c>
      <c r="E7" s="327">
        <f>'Capital &amp; Equip Fund'!I10+'Park Development'!N10</f>
        <v>0</v>
      </c>
      <c r="F7" s="327">
        <f>'Capital &amp; Equip Fund'!J10+'Park Development'!O10</f>
        <v>0</v>
      </c>
      <c r="G7" s="327">
        <f>'Capital &amp; Equip Fund'!K10+'Park Development'!P10</f>
        <v>0</v>
      </c>
      <c r="H7" s="326"/>
      <c r="I7" s="326"/>
    </row>
    <row r="8" spans="1:9" ht="15.75">
      <c r="A8" t="s">
        <v>312</v>
      </c>
      <c r="B8" s="327">
        <f>Water!M11+'SBM-20'!D12</f>
        <v>30584328</v>
      </c>
      <c r="C8" s="327">
        <f>Water!N11+'SBM-20'!E12</f>
        <v>775285</v>
      </c>
      <c r="D8" s="327">
        <f>Water!O11+'SBM-20'!F12</f>
        <v>772917</v>
      </c>
      <c r="E8" s="327">
        <f>Water!P11+'SBM-20'!G12</f>
        <v>598645</v>
      </c>
      <c r="F8" s="327">
        <f>Water!Q11+'SBM-20'!H12</f>
        <v>692795</v>
      </c>
      <c r="G8" s="327">
        <f>Water!R11+'SBM-20'!I12</f>
        <v>601801</v>
      </c>
      <c r="H8" s="326"/>
      <c r="I8" s="326"/>
    </row>
    <row r="9" spans="1:9" ht="15.75">
      <c r="A9" t="s">
        <v>565</v>
      </c>
      <c r="B9" s="327">
        <f>'Capital &amp; Equip Fund'!F7+'Fac Maint-Capital Only'!F10+CIF!F10</f>
        <v>149500</v>
      </c>
      <c r="C9" s="327">
        <f>'Capital &amp; Equip Fund'!G7+'Fac Maint-Capital Only'!G10+CIF!G10</f>
        <v>76450</v>
      </c>
      <c r="D9" s="327">
        <f>'Capital &amp; Equip Fund'!H7+'Fac Maint-Capital Only'!H10+CIF!H10</f>
        <v>77450</v>
      </c>
      <c r="E9" s="327">
        <f>'Capital &amp; Equip Fund'!I7+'Fac Maint-Capital Only'!I10+CIF!I10</f>
        <v>78460</v>
      </c>
      <c r="F9" s="327">
        <f>'Capital &amp; Equip Fund'!J7+'Fac Maint-Capital Only'!J10+CIF!J10</f>
        <v>79490</v>
      </c>
      <c r="G9" s="327">
        <f>'Capital &amp; Equip Fund'!K7+'Fac Maint-Capital Only'!K10+CIF!K10</f>
        <v>0</v>
      </c>
      <c r="H9" s="326"/>
      <c r="I9" s="326"/>
    </row>
    <row r="10" spans="1:9" ht="15.75">
      <c r="A10" t="s">
        <v>567</v>
      </c>
      <c r="B10" s="326">
        <f>'Fac Maint-Capital Only'!F12</f>
        <v>3900000</v>
      </c>
      <c r="C10" s="326">
        <f>'Fac Maint-Capital Only'!G12</f>
        <v>0</v>
      </c>
      <c r="D10" s="326">
        <f>'Fac Maint-Capital Only'!H12</f>
        <v>0</v>
      </c>
      <c r="E10" s="326">
        <f>'Fac Maint-Capital Only'!I12</f>
        <v>0</v>
      </c>
      <c r="F10" s="326">
        <f>'Fac Maint-Capital Only'!J12</f>
        <v>0</v>
      </c>
      <c r="G10" s="326">
        <f>'Fac Maint-Capital Only'!K12</f>
        <v>0</v>
      </c>
      <c r="H10" s="326"/>
      <c r="I10" s="326"/>
    </row>
    <row r="11" spans="2:9" ht="15.75">
      <c r="B11" s="326"/>
      <c r="C11" s="326"/>
      <c r="D11" s="326"/>
      <c r="E11" s="326"/>
      <c r="F11" s="326"/>
      <c r="G11" s="326"/>
      <c r="H11" s="326"/>
      <c r="I11" s="326"/>
    </row>
    <row r="12" spans="3:9" ht="15.75">
      <c r="C12" s="326"/>
      <c r="D12" s="326"/>
      <c r="E12" s="326"/>
      <c r="F12" s="326"/>
      <c r="G12" s="326"/>
      <c r="H12" s="326"/>
      <c r="I12" s="326"/>
    </row>
    <row r="13" spans="3:9" ht="15.75">
      <c r="C13" s="326"/>
      <c r="D13" s="326"/>
      <c r="E13" s="326"/>
      <c r="F13" s="326"/>
      <c r="G13" s="326"/>
      <c r="H13" s="326"/>
      <c r="I13" s="326"/>
    </row>
    <row r="14" spans="3:9" ht="15.75">
      <c r="C14" s="326"/>
      <c r="D14" s="326"/>
      <c r="E14" s="326"/>
      <c r="F14" s="326"/>
      <c r="G14" s="326"/>
      <c r="H14" s="326"/>
      <c r="I14" s="326"/>
    </row>
    <row r="15" spans="3:9" ht="15.75">
      <c r="C15" s="326"/>
      <c r="D15" s="326"/>
      <c r="E15" s="326"/>
      <c r="F15" s="326"/>
      <c r="G15" s="326"/>
      <c r="H15" s="326"/>
      <c r="I15" s="326"/>
    </row>
    <row r="16" spans="3:9" ht="15.75">
      <c r="C16" s="326"/>
      <c r="D16" s="326"/>
      <c r="E16" s="326"/>
      <c r="F16" s="326"/>
      <c r="G16" s="326"/>
      <c r="H16" s="326"/>
      <c r="I16" s="326"/>
    </row>
    <row r="17" spans="3:9" ht="15.75">
      <c r="C17" s="326"/>
      <c r="D17" s="326"/>
      <c r="E17" s="326"/>
      <c r="F17" s="326"/>
      <c r="G17" s="326"/>
      <c r="H17" s="326"/>
      <c r="I17" s="326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 topLeftCell="A1">
      <selection activeCell="C21" sqref="C21"/>
    </sheetView>
  </sheetViews>
  <sheetFormatPr defaultColWidth="9.00390625" defaultRowHeight="15.75"/>
  <cols>
    <col min="1" max="1" width="31.625" style="0" bestFit="1" customWidth="1"/>
    <col min="2" max="3" width="11.625" style="0" bestFit="1" customWidth="1"/>
    <col min="4" max="8" width="11.125" style="0" bestFit="1" customWidth="1"/>
  </cols>
  <sheetData>
    <row r="1" ht="15.75">
      <c r="A1" s="1" t="s">
        <v>15</v>
      </c>
    </row>
    <row r="3" ht="15.75">
      <c r="A3" t="s">
        <v>0</v>
      </c>
    </row>
    <row r="4" spans="2:3" ht="15.75">
      <c r="B4" s="21" t="s">
        <v>211</v>
      </c>
      <c r="C4" s="21" t="s">
        <v>210</v>
      </c>
    </row>
    <row r="5" spans="2:8" ht="15.75">
      <c r="B5" s="4">
        <v>2018</v>
      </c>
      <c r="C5" s="4">
        <v>2018</v>
      </c>
      <c r="D5" s="4">
        <f>B5+1</f>
        <v>2019</v>
      </c>
      <c r="E5" s="4">
        <f>D5+1</f>
        <v>2020</v>
      </c>
      <c r="F5" s="4">
        <f>E5+1</f>
        <v>2021</v>
      </c>
      <c r="G5" s="4">
        <f>F5+1</f>
        <v>2022</v>
      </c>
      <c r="H5" s="4">
        <f>G5+1</f>
        <v>2023</v>
      </c>
    </row>
    <row r="6" spans="1:8" ht="15.75">
      <c r="A6" s="2" t="s">
        <v>19</v>
      </c>
      <c r="B6" s="10">
        <v>2528296</v>
      </c>
      <c r="C6" s="10">
        <v>2528296</v>
      </c>
      <c r="D6" s="10">
        <f>B36</f>
        <v>2562426</v>
      </c>
      <c r="E6" s="10">
        <f>D36</f>
        <v>2597016</v>
      </c>
      <c r="F6" s="10">
        <f>E36</f>
        <v>2632076</v>
      </c>
      <c r="G6" s="10">
        <f>F36</f>
        <v>2667606</v>
      </c>
      <c r="H6" s="10">
        <f>G36</f>
        <v>2703616</v>
      </c>
    </row>
    <row r="7" spans="1:8" ht="5.25" customHeight="1">
      <c r="A7" s="2"/>
      <c r="B7" s="3"/>
      <c r="C7" s="3"/>
      <c r="D7" s="3"/>
      <c r="E7" s="3"/>
      <c r="F7" s="3"/>
      <c r="G7" s="3"/>
      <c r="H7" s="3"/>
    </row>
    <row r="8" spans="1:11" ht="15.75">
      <c r="A8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.75">
      <c r="A10" s="5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5" t="s">
        <v>9</v>
      </c>
      <c r="B11" s="6">
        <f aca="true" t="shared" si="0" ref="B11:H11">ROUND(B6*0.9*0.015,-1)</f>
        <v>34130</v>
      </c>
      <c r="C11" s="6">
        <f t="shared" si="0"/>
        <v>34130</v>
      </c>
      <c r="D11" s="6">
        <f t="shared" si="0"/>
        <v>34590</v>
      </c>
      <c r="E11" s="6">
        <f t="shared" si="0"/>
        <v>35060</v>
      </c>
      <c r="F11" s="6">
        <f t="shared" si="0"/>
        <v>35530</v>
      </c>
      <c r="G11" s="6">
        <f t="shared" si="0"/>
        <v>36010</v>
      </c>
      <c r="H11" s="6">
        <f t="shared" si="0"/>
        <v>36500</v>
      </c>
      <c r="I11" s="6"/>
      <c r="J11" s="6"/>
      <c r="K11" s="6"/>
    </row>
    <row r="12" spans="1:11" ht="15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.75">
      <c r="A14" s="7" t="s">
        <v>4</v>
      </c>
      <c r="B14" s="3">
        <f aca="true" t="shared" si="1" ref="B14:H14">SUM(B8:B13)</f>
        <v>34130</v>
      </c>
      <c r="C14" s="3">
        <f t="shared" si="1"/>
        <v>34130</v>
      </c>
      <c r="D14" s="3">
        <f t="shared" si="1"/>
        <v>34590</v>
      </c>
      <c r="E14" s="3">
        <f t="shared" si="1"/>
        <v>35060</v>
      </c>
      <c r="F14" s="3">
        <f t="shared" si="1"/>
        <v>35530</v>
      </c>
      <c r="G14" s="3">
        <f t="shared" si="1"/>
        <v>36010</v>
      </c>
      <c r="H14" s="3">
        <f t="shared" si="1"/>
        <v>36500</v>
      </c>
      <c r="I14" s="3"/>
      <c r="J14" s="3"/>
      <c r="K14" s="6"/>
    </row>
    <row r="15" spans="1:11" ht="5.2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75">
      <c r="A16" t="s">
        <v>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5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5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.7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0" ht="15.75">
      <c r="A32" s="7" t="s">
        <v>2</v>
      </c>
      <c r="B32" s="3">
        <f aca="true" t="shared" si="2" ref="B32:H32">SUM(B16:B31)</f>
        <v>0</v>
      </c>
      <c r="C32" s="3">
        <f t="shared" si="2"/>
        <v>0</v>
      </c>
      <c r="D32" s="3">
        <f t="shared" si="2"/>
        <v>0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 t="shared" si="2"/>
        <v>0</v>
      </c>
      <c r="I32" s="3"/>
      <c r="J32" s="3"/>
    </row>
    <row r="33" ht="5.25" customHeight="1"/>
    <row r="34" spans="1:8" ht="15.75">
      <c r="A34" t="s">
        <v>5</v>
      </c>
      <c r="B34" s="8">
        <f aca="true" t="shared" si="3" ref="B34:H34">+B14-B32</f>
        <v>34130</v>
      </c>
      <c r="C34" s="8">
        <f t="shared" si="3"/>
        <v>34130</v>
      </c>
      <c r="D34" s="8">
        <f t="shared" si="3"/>
        <v>34590</v>
      </c>
      <c r="E34" s="8">
        <f t="shared" si="3"/>
        <v>35060</v>
      </c>
      <c r="F34" s="8">
        <f t="shared" si="3"/>
        <v>35530</v>
      </c>
      <c r="G34" s="8">
        <f t="shared" si="3"/>
        <v>36010</v>
      </c>
      <c r="H34" s="8">
        <f t="shared" si="3"/>
        <v>36500</v>
      </c>
    </row>
    <row r="35" ht="5.25" customHeight="1"/>
    <row r="36" spans="1:8" ht="15.75">
      <c r="A36" s="2" t="s">
        <v>6</v>
      </c>
      <c r="B36" s="9">
        <f aca="true" t="shared" si="4" ref="B36:H36">+B6+B34</f>
        <v>2562426</v>
      </c>
      <c r="C36" s="9">
        <f t="shared" si="4"/>
        <v>2562426</v>
      </c>
      <c r="D36" s="9">
        <f t="shared" si="4"/>
        <v>2597016</v>
      </c>
      <c r="E36" s="9">
        <f t="shared" si="4"/>
        <v>2632076</v>
      </c>
      <c r="F36" s="9">
        <f t="shared" si="4"/>
        <v>2667606</v>
      </c>
      <c r="G36" s="9">
        <f t="shared" si="4"/>
        <v>2703616</v>
      </c>
      <c r="H36" s="9">
        <f t="shared" si="4"/>
        <v>2740116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workbookViewId="0" topLeftCell="A1">
      <selection activeCell="J5" sqref="J5"/>
    </sheetView>
  </sheetViews>
  <sheetFormatPr defaultColWidth="9.00390625" defaultRowHeight="15.75"/>
  <cols>
    <col min="1" max="1" width="29.375" style="22" customWidth="1"/>
    <col min="2" max="5" width="13.875" style="22" hidden="1" customWidth="1"/>
    <col min="6" max="6" width="13.875" style="22" bestFit="1" customWidth="1"/>
    <col min="7" max="10" width="12.625" style="22" bestFit="1" customWidth="1"/>
    <col min="11" max="16384" width="9.00390625" style="22" customWidth="1"/>
  </cols>
  <sheetData>
    <row r="1" ht="15.75">
      <c r="A1" s="25" t="s">
        <v>18</v>
      </c>
    </row>
    <row r="4" spans="1:10" ht="15.75">
      <c r="A4" s="149" t="s">
        <v>0</v>
      </c>
      <c r="B4" s="130">
        <v>2017</v>
      </c>
      <c r="C4" s="130">
        <v>2018</v>
      </c>
      <c r="D4" s="130">
        <v>2018</v>
      </c>
      <c r="E4" s="130">
        <v>2019</v>
      </c>
      <c r="F4" s="154">
        <f>C4+1</f>
        <v>2019</v>
      </c>
      <c r="G4" s="154">
        <f>F4+1</f>
        <v>2020</v>
      </c>
      <c r="H4" s="154">
        <f>G4+1</f>
        <v>2021</v>
      </c>
      <c r="I4" s="154">
        <f>H4+1</f>
        <v>2022</v>
      </c>
      <c r="J4" s="155">
        <f>I4+1</f>
        <v>2023</v>
      </c>
    </row>
    <row r="5" spans="1:10" ht="36">
      <c r="A5" s="150" t="s">
        <v>19</v>
      </c>
      <c r="B5" s="131">
        <v>11507592</v>
      </c>
      <c r="C5" s="131">
        <v>10590104</v>
      </c>
      <c r="D5" s="131">
        <v>10590104</v>
      </c>
      <c r="E5" s="131">
        <f>D24</f>
        <v>10881265.63</v>
      </c>
      <c r="F5" s="132">
        <f>C24</f>
        <v>10733074</v>
      </c>
      <c r="G5" s="132">
        <f>F24</f>
        <v>5477974</v>
      </c>
      <c r="H5" s="132">
        <f>G24</f>
        <v>5551924</v>
      </c>
      <c r="I5" s="132">
        <f>H24</f>
        <v>5626874</v>
      </c>
      <c r="J5" s="133">
        <f>I24</f>
        <v>5702834</v>
      </c>
    </row>
    <row r="6" spans="1:10" ht="15.75">
      <c r="A6" s="134"/>
      <c r="B6" s="135"/>
      <c r="C6" s="135"/>
      <c r="D6" s="135"/>
      <c r="E6" s="135"/>
      <c r="F6" s="135"/>
      <c r="G6" s="135"/>
      <c r="H6" s="135"/>
      <c r="I6" s="135"/>
      <c r="J6" s="136"/>
    </row>
    <row r="7" spans="1:13" ht="15.75">
      <c r="A7" s="134" t="s">
        <v>3</v>
      </c>
      <c r="B7" s="138"/>
      <c r="C7" s="138"/>
      <c r="D7" s="138"/>
      <c r="E7" s="138"/>
      <c r="F7" s="138"/>
      <c r="G7" s="138"/>
      <c r="H7" s="138"/>
      <c r="I7" s="138"/>
      <c r="J7" s="139"/>
      <c r="K7" s="28"/>
      <c r="L7" s="28"/>
      <c r="M7" s="28"/>
    </row>
    <row r="8" spans="1:13" ht="15.75" hidden="1">
      <c r="A8" s="140" t="s">
        <v>10</v>
      </c>
      <c r="B8" s="138"/>
      <c r="C8" s="138"/>
      <c r="D8" s="138"/>
      <c r="E8" s="138"/>
      <c r="F8" s="138"/>
      <c r="G8" s="138"/>
      <c r="H8" s="138"/>
      <c r="I8" s="138"/>
      <c r="J8" s="139"/>
      <c r="K8" s="28"/>
      <c r="L8" s="28"/>
      <c r="M8" s="28"/>
    </row>
    <row r="9" spans="1:13" ht="15.75" hidden="1">
      <c r="A9" s="140" t="s">
        <v>8</v>
      </c>
      <c r="B9" s="138">
        <v>247324</v>
      </c>
      <c r="C9" s="138"/>
      <c r="D9" s="138">
        <v>186084.5</v>
      </c>
      <c r="E9" s="138"/>
      <c r="F9" s="138"/>
      <c r="G9" s="138"/>
      <c r="H9" s="138"/>
      <c r="I9" s="138"/>
      <c r="J9" s="139"/>
      <c r="K9" s="28"/>
      <c r="L9" s="28"/>
      <c r="M9" s="28"/>
    </row>
    <row r="10" spans="1:13" ht="15.75">
      <c r="A10" s="140" t="s">
        <v>9</v>
      </c>
      <c r="B10" s="138">
        <f>161591.78-46413.79</f>
        <v>115177.98999999999</v>
      </c>
      <c r="C10" s="138">
        <f>ROUND(C5*0.9*0.015,-1)</f>
        <v>142970</v>
      </c>
      <c r="D10" s="138">
        <v>131634.63</v>
      </c>
      <c r="E10" s="138"/>
      <c r="F10" s="138">
        <f>ROUND(F5*0.9*0.015,-1)</f>
        <v>144900</v>
      </c>
      <c r="G10" s="138">
        <f>ROUND(G5*0.9*0.015,-1)</f>
        <v>73950</v>
      </c>
      <c r="H10" s="138">
        <f>ROUND(H5*0.9*0.015,-1)</f>
        <v>74950</v>
      </c>
      <c r="I10" s="138">
        <f>ROUND(I5*0.9*0.015,-1)</f>
        <v>75960</v>
      </c>
      <c r="J10" s="139">
        <f>ROUND(J5*0.9*0.015,-1)</f>
        <v>76990</v>
      </c>
      <c r="K10" s="28"/>
      <c r="L10" s="28"/>
      <c r="M10" s="28"/>
    </row>
    <row r="11" spans="1:13" ht="15.75">
      <c r="A11" s="140"/>
      <c r="B11" s="138"/>
      <c r="C11" s="138"/>
      <c r="D11" s="138"/>
      <c r="E11" s="138"/>
      <c r="F11" s="138"/>
      <c r="G11" s="138"/>
      <c r="H11" s="138"/>
      <c r="I11" s="138"/>
      <c r="J11" s="139"/>
      <c r="K11" s="28"/>
      <c r="L11" s="28"/>
      <c r="M11" s="28"/>
    </row>
    <row r="12" spans="1:13" ht="20.25">
      <c r="A12" s="141" t="s">
        <v>4</v>
      </c>
      <c r="B12" s="135">
        <f aca="true" t="shared" si="0" ref="B12:J12">SUM(B7:B11)</f>
        <v>362501.99</v>
      </c>
      <c r="C12" s="135">
        <f t="shared" si="0"/>
        <v>142970</v>
      </c>
      <c r="D12" s="135">
        <f t="shared" si="0"/>
        <v>317719.13</v>
      </c>
      <c r="E12" s="135">
        <f t="shared" si="0"/>
        <v>0</v>
      </c>
      <c r="F12" s="152">
        <f t="shared" si="0"/>
        <v>144900</v>
      </c>
      <c r="G12" s="152">
        <f t="shared" si="0"/>
        <v>73950</v>
      </c>
      <c r="H12" s="152">
        <f t="shared" si="0"/>
        <v>74950</v>
      </c>
      <c r="I12" s="152">
        <f t="shared" si="0"/>
        <v>75960</v>
      </c>
      <c r="J12" s="153">
        <f t="shared" si="0"/>
        <v>76990</v>
      </c>
      <c r="K12" s="27"/>
      <c r="L12" s="27"/>
      <c r="M12" s="28"/>
    </row>
    <row r="13" spans="1:13" ht="15.75">
      <c r="A13" s="140"/>
      <c r="B13" s="138"/>
      <c r="C13" s="138"/>
      <c r="D13" s="138"/>
      <c r="E13" s="138"/>
      <c r="F13" s="138"/>
      <c r="G13" s="138"/>
      <c r="H13" s="138"/>
      <c r="I13" s="138"/>
      <c r="J13" s="139"/>
      <c r="K13" s="28"/>
      <c r="L13" s="28"/>
      <c r="M13" s="28"/>
    </row>
    <row r="14" spans="1:13" ht="15.75">
      <c r="A14" s="134" t="s">
        <v>1</v>
      </c>
      <c r="B14" s="138"/>
      <c r="C14" s="138"/>
      <c r="D14" s="138"/>
      <c r="E14" s="138"/>
      <c r="F14" s="138"/>
      <c r="G14" s="138"/>
      <c r="H14" s="138"/>
      <c r="I14" s="138"/>
      <c r="J14" s="139"/>
      <c r="K14" s="28"/>
      <c r="L14" s="28"/>
      <c r="M14" s="28"/>
    </row>
    <row r="15" spans="1:13" ht="15.75">
      <c r="A15" s="140" t="s">
        <v>20</v>
      </c>
      <c r="B15" s="138"/>
      <c r="C15" s="138">
        <f>2400000-2400000</f>
        <v>0</v>
      </c>
      <c r="D15" s="138">
        <v>22470</v>
      </c>
      <c r="E15" s="138">
        <v>303670.98</v>
      </c>
      <c r="F15" s="138">
        <f>3000000+2400000</f>
        <v>5400000</v>
      </c>
      <c r="G15" s="138"/>
      <c r="H15" s="138"/>
      <c r="I15" s="138"/>
      <c r="J15" s="139"/>
      <c r="K15" s="28"/>
      <c r="L15" s="28"/>
      <c r="M15" s="28"/>
    </row>
    <row r="16" spans="1:13" ht="15.75" hidden="1">
      <c r="A16" s="140" t="s">
        <v>218</v>
      </c>
      <c r="B16" s="138">
        <f>1139253.14+139323.5</f>
        <v>1278576.64</v>
      </c>
      <c r="C16" s="138"/>
      <c r="D16" s="138"/>
      <c r="E16" s="138"/>
      <c r="F16" s="138"/>
      <c r="G16" s="138"/>
      <c r="H16" s="138"/>
      <c r="I16" s="138"/>
      <c r="J16" s="139"/>
      <c r="K16" s="28"/>
      <c r="L16" s="28"/>
      <c r="M16" s="28"/>
    </row>
    <row r="17" spans="1:13" ht="15.75" hidden="1">
      <c r="A17" s="140" t="s">
        <v>217</v>
      </c>
      <c r="B17" s="138">
        <v>1413.75</v>
      </c>
      <c r="C17" s="138"/>
      <c r="D17" s="138"/>
      <c r="E17" s="138"/>
      <c r="F17" s="138"/>
      <c r="G17" s="138"/>
      <c r="H17" s="138"/>
      <c r="I17" s="138"/>
      <c r="J17" s="139"/>
      <c r="K17" s="28"/>
      <c r="L17" s="28"/>
      <c r="M17" s="28"/>
    </row>
    <row r="18" spans="1:13" ht="15.75" hidden="1">
      <c r="A18" s="140" t="s">
        <v>168</v>
      </c>
      <c r="B18" s="138"/>
      <c r="C18" s="138"/>
      <c r="D18" s="138">
        <v>4087.5</v>
      </c>
      <c r="E18" s="138"/>
      <c r="F18" s="138"/>
      <c r="G18" s="138"/>
      <c r="H18" s="138"/>
      <c r="I18" s="138"/>
      <c r="J18" s="139"/>
      <c r="K18" s="28"/>
      <c r="L18" s="28"/>
      <c r="M18" s="28"/>
    </row>
    <row r="19" spans="1:13" ht="15.75">
      <c r="A19" s="140"/>
      <c r="B19" s="138"/>
      <c r="C19" s="138"/>
      <c r="D19" s="138"/>
      <c r="E19" s="138"/>
      <c r="F19" s="138"/>
      <c r="G19" s="138"/>
      <c r="H19" s="138"/>
      <c r="I19" s="138"/>
      <c r="J19" s="139"/>
      <c r="K19" s="28"/>
      <c r="L19" s="28"/>
      <c r="M19" s="28"/>
    </row>
    <row r="20" spans="1:12" ht="20.25">
      <c r="A20" s="141" t="s">
        <v>2</v>
      </c>
      <c r="B20" s="135">
        <f aca="true" t="shared" si="1" ref="B20:J20">SUM(B14:B19)</f>
        <v>1279990.39</v>
      </c>
      <c r="C20" s="135">
        <f t="shared" si="1"/>
        <v>0</v>
      </c>
      <c r="D20" s="135">
        <f t="shared" si="1"/>
        <v>26557.5</v>
      </c>
      <c r="E20" s="135">
        <f t="shared" si="1"/>
        <v>303670.98</v>
      </c>
      <c r="F20" s="152">
        <f t="shared" si="1"/>
        <v>5400000</v>
      </c>
      <c r="G20" s="152">
        <f t="shared" si="1"/>
        <v>0</v>
      </c>
      <c r="H20" s="152">
        <f t="shared" si="1"/>
        <v>0</v>
      </c>
      <c r="I20" s="152">
        <f t="shared" si="1"/>
        <v>0</v>
      </c>
      <c r="J20" s="153">
        <f t="shared" si="1"/>
        <v>0</v>
      </c>
      <c r="K20" s="27"/>
      <c r="L20" s="27"/>
    </row>
    <row r="21" spans="1:10" ht="15.75">
      <c r="A21" s="137"/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5.75">
      <c r="A22" s="141" t="s">
        <v>5</v>
      </c>
      <c r="B22" s="144">
        <f aca="true" t="shared" si="2" ref="B22:J22">+B12-B20</f>
        <v>-917488.3999999999</v>
      </c>
      <c r="C22" s="144">
        <f t="shared" si="2"/>
        <v>142970</v>
      </c>
      <c r="D22" s="144">
        <f t="shared" si="2"/>
        <v>291161.63</v>
      </c>
      <c r="E22" s="144">
        <f t="shared" si="2"/>
        <v>-303670.98</v>
      </c>
      <c r="F22" s="144">
        <f t="shared" si="2"/>
        <v>-5255100</v>
      </c>
      <c r="G22" s="144">
        <f t="shared" si="2"/>
        <v>73950</v>
      </c>
      <c r="H22" s="144">
        <f t="shared" si="2"/>
        <v>74950</v>
      </c>
      <c r="I22" s="144">
        <f t="shared" si="2"/>
        <v>75960</v>
      </c>
      <c r="J22" s="145">
        <f t="shared" si="2"/>
        <v>76990</v>
      </c>
    </row>
    <row r="23" spans="1:10" ht="15.75">
      <c r="A23" s="137"/>
      <c r="B23" s="142"/>
      <c r="C23" s="142"/>
      <c r="D23" s="142"/>
      <c r="E23" s="142"/>
      <c r="F23" s="142"/>
      <c r="G23" s="142"/>
      <c r="H23" s="142"/>
      <c r="I23" s="142"/>
      <c r="J23" s="143"/>
    </row>
    <row r="24" spans="1:10" ht="20.25">
      <c r="A24" s="151" t="s">
        <v>6</v>
      </c>
      <c r="B24" s="146">
        <v>10590104</v>
      </c>
      <c r="C24" s="146">
        <f aca="true" t="shared" si="3" ref="C24:J24">+C5+C22</f>
        <v>10733074</v>
      </c>
      <c r="D24" s="146">
        <f t="shared" si="3"/>
        <v>10881265.63</v>
      </c>
      <c r="E24" s="146">
        <f t="shared" si="3"/>
        <v>10577594.65</v>
      </c>
      <c r="F24" s="147">
        <f t="shared" si="3"/>
        <v>5477974</v>
      </c>
      <c r="G24" s="147">
        <f t="shared" si="3"/>
        <v>5551924</v>
      </c>
      <c r="H24" s="147">
        <f t="shared" si="3"/>
        <v>5626874</v>
      </c>
      <c r="I24" s="147">
        <f t="shared" si="3"/>
        <v>5702834</v>
      </c>
      <c r="J24" s="148">
        <f t="shared" si="3"/>
        <v>5779824</v>
      </c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0"/>
  <sheetViews>
    <sheetView zoomScale="68" zoomScaleNormal="68" workbookViewId="0" topLeftCell="A1">
      <selection activeCell="H93" sqref="H93"/>
    </sheetView>
  </sheetViews>
  <sheetFormatPr defaultColWidth="9.00390625" defaultRowHeight="19.5" customHeight="1"/>
  <cols>
    <col min="1" max="1" width="50.625" style="30" customWidth="1"/>
    <col min="2" max="5" width="50.625" style="30" hidden="1" customWidth="1"/>
    <col min="6" max="6" width="13.875" style="30" bestFit="1" customWidth="1"/>
    <col min="7" max="10" width="13.375" style="33" bestFit="1" customWidth="1"/>
    <col min="11" max="11" width="50.625" style="30" customWidth="1"/>
    <col min="12" max="16384" width="9.00390625" style="30" customWidth="1"/>
  </cols>
  <sheetData>
    <row r="1" spans="1:2" ht="45.75" customHeight="1">
      <c r="A1" s="446" t="s">
        <v>311</v>
      </c>
      <c r="B1" s="446"/>
    </row>
    <row r="2" spans="1:10" ht="20.1" customHeight="1">
      <c r="A2" s="67" t="s">
        <v>0</v>
      </c>
      <c r="B2" s="68" t="s">
        <v>219</v>
      </c>
      <c r="C2" s="68" t="s">
        <v>220</v>
      </c>
      <c r="D2" s="68" t="s">
        <v>271</v>
      </c>
      <c r="E2" s="69" t="s">
        <v>272</v>
      </c>
      <c r="F2" s="70">
        <v>2019</v>
      </c>
      <c r="G2" s="70">
        <v>2020</v>
      </c>
      <c r="H2" s="70">
        <v>2021</v>
      </c>
      <c r="I2" s="70">
        <v>2022</v>
      </c>
      <c r="J2" s="71">
        <v>2023</v>
      </c>
    </row>
    <row r="3" spans="1:10" ht="20.1" customHeight="1">
      <c r="A3" s="46"/>
      <c r="B3" s="31"/>
      <c r="C3" s="31"/>
      <c r="D3" s="34"/>
      <c r="E3" s="34"/>
      <c r="F3" s="34"/>
      <c r="G3" s="34"/>
      <c r="H3" s="34"/>
      <c r="I3" s="34"/>
      <c r="J3" s="47"/>
    </row>
    <row r="4" spans="1:10" ht="20.1" customHeight="1">
      <c r="A4" s="48" t="s">
        <v>221</v>
      </c>
      <c r="B4" s="35">
        <v>0</v>
      </c>
      <c r="C4" s="35">
        <v>0</v>
      </c>
      <c r="D4" s="35">
        <v>0</v>
      </c>
      <c r="E4" s="35">
        <f>D4</f>
        <v>0</v>
      </c>
      <c r="F4" s="35">
        <v>0</v>
      </c>
      <c r="G4" s="35">
        <f>F95</f>
        <v>1546155</v>
      </c>
      <c r="H4" s="35">
        <f>G95</f>
        <v>-1977175</v>
      </c>
      <c r="I4" s="35">
        <f>H95</f>
        <v>-2676975</v>
      </c>
      <c r="J4" s="49">
        <f>I95</f>
        <v>-3285175</v>
      </c>
    </row>
    <row r="5" spans="1:10" ht="20.1" customHeight="1">
      <c r="A5" s="50"/>
      <c r="B5" s="35"/>
      <c r="C5" s="35"/>
      <c r="D5" s="35"/>
      <c r="E5" s="35"/>
      <c r="F5" s="35"/>
      <c r="G5" s="35"/>
      <c r="H5" s="35"/>
      <c r="I5" s="35"/>
      <c r="J5" s="49"/>
    </row>
    <row r="6" spans="1:10" ht="20.1" customHeight="1">
      <c r="A6" s="51" t="s">
        <v>222</v>
      </c>
      <c r="B6" s="31"/>
      <c r="C6" s="31"/>
      <c r="D6" s="34"/>
      <c r="E6" s="34"/>
      <c r="F6" s="34"/>
      <c r="G6" s="34"/>
      <c r="H6" s="34"/>
      <c r="I6" s="34"/>
      <c r="J6" s="47"/>
    </row>
    <row r="7" spans="1:10" ht="20.1" customHeight="1">
      <c r="A7" s="50" t="s">
        <v>223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52">
        <v>0</v>
      </c>
    </row>
    <row r="8" spans="1:10" ht="20.1" customHeight="1">
      <c r="A8" s="50" t="s">
        <v>224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53">
        <v>0</v>
      </c>
    </row>
    <row r="9" spans="1:10" ht="20.1" customHeight="1">
      <c r="A9" s="54" t="s">
        <v>225</v>
      </c>
      <c r="B9" s="38">
        <v>0</v>
      </c>
      <c r="C9" s="38">
        <v>0</v>
      </c>
      <c r="D9" s="38">
        <v>0</v>
      </c>
      <c r="E9" s="38">
        <f>(D9/12)*7</f>
        <v>0</v>
      </c>
      <c r="F9" s="38">
        <f>ROUND('[1]Cost Allocation for 2019'!E31,-2)</f>
        <v>852100</v>
      </c>
      <c r="G9" s="38">
        <f>ROUND(F9*1.03,-2)+28800</f>
        <v>906500</v>
      </c>
      <c r="H9" s="38">
        <f>ROUND(G9*1.03,-2)</f>
        <v>933700</v>
      </c>
      <c r="I9" s="38">
        <f>ROUND(H9*1.03,-2)</f>
        <v>961700</v>
      </c>
      <c r="J9" s="55">
        <f>ROUND(I9*1.03,-2)</f>
        <v>990600</v>
      </c>
    </row>
    <row r="10" spans="1:10" ht="20.1" customHeight="1">
      <c r="A10" s="54" t="s">
        <v>226</v>
      </c>
      <c r="B10" s="38">
        <v>0</v>
      </c>
      <c r="C10" s="38">
        <v>0</v>
      </c>
      <c r="D10" s="38">
        <v>0</v>
      </c>
      <c r="E10" s="38">
        <f>(D10/12)*7</f>
        <v>0</v>
      </c>
      <c r="F10" s="38">
        <f>ROUND('[1]Cost Allocation for 2019'!H31,-2)</f>
        <v>75000</v>
      </c>
      <c r="G10" s="38">
        <v>75000</v>
      </c>
      <c r="H10" s="38">
        <v>80000</v>
      </c>
      <c r="I10" s="38">
        <v>80000</v>
      </c>
      <c r="J10" s="55">
        <v>85000</v>
      </c>
    </row>
    <row r="11" spans="1:10" ht="20.1" customHeight="1">
      <c r="A11" s="54" t="s">
        <v>227</v>
      </c>
      <c r="B11" s="38">
        <v>0</v>
      </c>
      <c r="C11" s="38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53">
        <v>0</v>
      </c>
    </row>
    <row r="12" spans="1:10" ht="20.1" customHeight="1">
      <c r="A12" s="50" t="s">
        <v>228</v>
      </c>
      <c r="B12" s="38">
        <v>0</v>
      </c>
      <c r="C12" s="38">
        <v>0</v>
      </c>
      <c r="D12" s="38">
        <v>0</v>
      </c>
      <c r="E12" s="38">
        <v>0</v>
      </c>
      <c r="F12" s="38">
        <v>2500</v>
      </c>
      <c r="G12" s="38">
        <v>2500</v>
      </c>
      <c r="H12" s="38">
        <v>2500</v>
      </c>
      <c r="I12" s="38">
        <v>2500</v>
      </c>
      <c r="J12" s="55">
        <v>2500</v>
      </c>
    </row>
    <row r="13" spans="1:10" ht="20.1" customHeight="1">
      <c r="A13" s="54" t="s">
        <v>229</v>
      </c>
      <c r="B13" s="38"/>
      <c r="C13" s="38"/>
      <c r="D13" s="36"/>
      <c r="E13" s="36"/>
      <c r="F13" s="36">
        <v>250000</v>
      </c>
      <c r="G13" s="36"/>
      <c r="H13" s="36"/>
      <c r="I13" s="36"/>
      <c r="J13" s="53"/>
    </row>
    <row r="14" spans="1:10" ht="20.1" customHeight="1">
      <c r="A14" s="50" t="s">
        <v>315</v>
      </c>
      <c r="B14" s="38"/>
      <c r="C14" s="38"/>
      <c r="D14" s="36"/>
      <c r="E14" s="36"/>
      <c r="F14" s="36">
        <v>3900000</v>
      </c>
      <c r="G14" s="36"/>
      <c r="H14" s="36"/>
      <c r="I14" s="36"/>
      <c r="J14" s="53"/>
    </row>
    <row r="15" spans="1:10" ht="20.1" customHeight="1">
      <c r="A15" s="50" t="s">
        <v>312</v>
      </c>
      <c r="B15" s="36"/>
      <c r="C15" s="36"/>
      <c r="D15" s="36"/>
      <c r="E15" s="36"/>
      <c r="F15" s="36">
        <v>4200000</v>
      </c>
      <c r="G15" s="36"/>
      <c r="H15" s="36"/>
      <c r="I15" s="36"/>
      <c r="J15" s="53"/>
    </row>
    <row r="16" spans="1:10" ht="20.1" customHeight="1">
      <c r="A16" s="48"/>
      <c r="B16" s="39"/>
      <c r="C16" s="39">
        <f aca="true" t="shared" si="0" ref="C16:J16">SUM(C7:C15)</f>
        <v>0</v>
      </c>
      <c r="D16" s="39">
        <f t="shared" si="0"/>
        <v>0</v>
      </c>
      <c r="E16" s="39">
        <f t="shared" si="0"/>
        <v>0</v>
      </c>
      <c r="F16" s="39">
        <f t="shared" si="0"/>
        <v>9279600</v>
      </c>
      <c r="G16" s="39">
        <f t="shared" si="0"/>
        <v>984000</v>
      </c>
      <c r="H16" s="39">
        <f t="shared" si="0"/>
        <v>1016200</v>
      </c>
      <c r="I16" s="39">
        <f t="shared" si="0"/>
        <v>1044200</v>
      </c>
      <c r="J16" s="56">
        <f t="shared" si="0"/>
        <v>1078100</v>
      </c>
    </row>
    <row r="17" spans="1:10" ht="20.1" customHeight="1">
      <c r="A17" s="48" t="s">
        <v>230</v>
      </c>
      <c r="B17" s="32"/>
      <c r="C17" s="32"/>
      <c r="D17" s="32"/>
      <c r="E17" s="32"/>
      <c r="F17" s="32"/>
      <c r="G17" s="32"/>
      <c r="H17" s="32"/>
      <c r="I17" s="32"/>
      <c r="J17" s="57"/>
    </row>
    <row r="18" spans="1:10" ht="20.1" customHeight="1">
      <c r="A18" s="48"/>
      <c r="B18" s="32"/>
      <c r="C18" s="32"/>
      <c r="D18" s="32"/>
      <c r="E18" s="32"/>
      <c r="F18" s="32"/>
      <c r="G18" s="32"/>
      <c r="H18" s="32"/>
      <c r="I18" s="32"/>
      <c r="J18" s="57"/>
    </row>
    <row r="19" spans="1:10" ht="20.1" customHeight="1">
      <c r="A19" s="51" t="s">
        <v>231</v>
      </c>
      <c r="B19" s="32"/>
      <c r="C19" s="32"/>
      <c r="D19" s="32"/>
      <c r="E19" s="32"/>
      <c r="F19" s="32"/>
      <c r="G19" s="32"/>
      <c r="H19" s="32"/>
      <c r="I19" s="32"/>
      <c r="J19" s="57"/>
    </row>
    <row r="20" spans="1:10" ht="20.1" customHeight="1">
      <c r="A20" s="48" t="s">
        <v>232</v>
      </c>
      <c r="B20" s="37">
        <v>109349</v>
      </c>
      <c r="C20" s="37">
        <v>113778</v>
      </c>
      <c r="D20" s="37">
        <v>117040</v>
      </c>
      <c r="E20" s="37">
        <v>118500</v>
      </c>
      <c r="F20" s="37">
        <v>120550</v>
      </c>
      <c r="G20" s="37">
        <f aca="true" t="shared" si="1" ref="G20:J28">ROUND(F20*1.03,-2)</f>
        <v>124200</v>
      </c>
      <c r="H20" s="37">
        <f t="shared" si="1"/>
        <v>127900</v>
      </c>
      <c r="I20" s="37">
        <f t="shared" si="1"/>
        <v>131700</v>
      </c>
      <c r="J20" s="52">
        <f t="shared" si="1"/>
        <v>135700</v>
      </c>
    </row>
    <row r="21" spans="1:10" ht="20.1" customHeight="1">
      <c r="A21" s="50" t="s">
        <v>233</v>
      </c>
      <c r="B21" s="36">
        <v>3192</v>
      </c>
      <c r="C21" s="36">
        <v>3180</v>
      </c>
      <c r="D21" s="38">
        <v>3000</v>
      </c>
      <c r="E21" s="38">
        <v>4000</v>
      </c>
      <c r="F21" s="38">
        <v>3000</v>
      </c>
      <c r="G21" s="38">
        <f t="shared" si="1"/>
        <v>3100</v>
      </c>
      <c r="H21" s="38">
        <f t="shared" si="1"/>
        <v>3200</v>
      </c>
      <c r="I21" s="38">
        <f t="shared" si="1"/>
        <v>3300</v>
      </c>
      <c r="J21" s="55">
        <f t="shared" si="1"/>
        <v>3400</v>
      </c>
    </row>
    <row r="22" spans="1:10" ht="20.1" customHeight="1">
      <c r="A22" s="50" t="s">
        <v>234</v>
      </c>
      <c r="B22" s="36">
        <v>23685</v>
      </c>
      <c r="C22" s="36">
        <v>25435</v>
      </c>
      <c r="D22" s="38">
        <v>27050</v>
      </c>
      <c r="E22" s="38">
        <v>28000</v>
      </c>
      <c r="F22" s="38">
        <v>29240</v>
      </c>
      <c r="G22" s="38">
        <f t="shared" si="1"/>
        <v>30100</v>
      </c>
      <c r="H22" s="38">
        <f t="shared" si="1"/>
        <v>31000</v>
      </c>
      <c r="I22" s="38">
        <f t="shared" si="1"/>
        <v>31900</v>
      </c>
      <c r="J22" s="55">
        <f t="shared" si="1"/>
        <v>32900</v>
      </c>
    </row>
    <row r="23" spans="1:10" ht="20.1" customHeight="1">
      <c r="A23" s="50" t="s">
        <v>235</v>
      </c>
      <c r="B23" s="36">
        <v>500</v>
      </c>
      <c r="C23" s="36">
        <v>500</v>
      </c>
      <c r="D23" s="38">
        <v>500</v>
      </c>
      <c r="E23" s="38">
        <v>500</v>
      </c>
      <c r="F23" s="38">
        <v>500</v>
      </c>
      <c r="G23" s="38">
        <f t="shared" si="1"/>
        <v>500</v>
      </c>
      <c r="H23" s="38">
        <f t="shared" si="1"/>
        <v>500</v>
      </c>
      <c r="I23" s="38">
        <f t="shared" si="1"/>
        <v>500</v>
      </c>
      <c r="J23" s="55">
        <f t="shared" si="1"/>
        <v>500</v>
      </c>
    </row>
    <row r="24" spans="1:10" ht="20.1" customHeight="1">
      <c r="A24" s="50" t="s">
        <v>236</v>
      </c>
      <c r="B24" s="36">
        <v>10155</v>
      </c>
      <c r="C24" s="36">
        <v>10645</v>
      </c>
      <c r="D24" s="38">
        <v>10810</v>
      </c>
      <c r="E24" s="38">
        <v>11000</v>
      </c>
      <c r="F24" s="38">
        <v>11240</v>
      </c>
      <c r="G24" s="38">
        <f t="shared" si="1"/>
        <v>11600</v>
      </c>
      <c r="H24" s="38">
        <f t="shared" si="1"/>
        <v>11900</v>
      </c>
      <c r="I24" s="38">
        <f t="shared" si="1"/>
        <v>12300</v>
      </c>
      <c r="J24" s="55">
        <f t="shared" si="1"/>
        <v>12700</v>
      </c>
    </row>
    <row r="25" spans="1:10" ht="20.1" customHeight="1">
      <c r="A25" s="50" t="s">
        <v>237</v>
      </c>
      <c r="B25" s="36">
        <v>8958</v>
      </c>
      <c r="C25" s="36">
        <v>9449</v>
      </c>
      <c r="D25" s="38">
        <v>8930</v>
      </c>
      <c r="E25" s="38">
        <v>9000</v>
      </c>
      <c r="F25" s="38">
        <v>9300</v>
      </c>
      <c r="G25" s="38">
        <f t="shared" si="1"/>
        <v>9600</v>
      </c>
      <c r="H25" s="38">
        <f t="shared" si="1"/>
        <v>9900</v>
      </c>
      <c r="I25" s="38">
        <f t="shared" si="1"/>
        <v>10200</v>
      </c>
      <c r="J25" s="55">
        <f t="shared" si="1"/>
        <v>10500</v>
      </c>
    </row>
    <row r="26" spans="1:10" ht="20.1" customHeight="1">
      <c r="A26" s="50" t="s">
        <v>238</v>
      </c>
      <c r="B26" s="36">
        <v>2095</v>
      </c>
      <c r="C26" s="36">
        <v>2210</v>
      </c>
      <c r="D26" s="38">
        <v>2090</v>
      </c>
      <c r="E26" s="38">
        <v>3000</v>
      </c>
      <c r="F26" s="38">
        <v>2170</v>
      </c>
      <c r="G26" s="38">
        <f t="shared" si="1"/>
        <v>2200</v>
      </c>
      <c r="H26" s="38">
        <f t="shared" si="1"/>
        <v>2300</v>
      </c>
      <c r="I26" s="38">
        <f t="shared" si="1"/>
        <v>2400</v>
      </c>
      <c r="J26" s="55">
        <f t="shared" si="1"/>
        <v>2500</v>
      </c>
    </row>
    <row r="27" spans="1:10" ht="20.1" customHeight="1">
      <c r="A27" s="50" t="s">
        <v>239</v>
      </c>
      <c r="B27" s="36">
        <v>26832</v>
      </c>
      <c r="C27" s="36">
        <v>28578</v>
      </c>
      <c r="D27" s="38">
        <v>29480</v>
      </c>
      <c r="E27" s="38">
        <v>30000</v>
      </c>
      <c r="F27" s="38">
        <v>30770</v>
      </c>
      <c r="G27" s="38">
        <f t="shared" si="1"/>
        <v>31700</v>
      </c>
      <c r="H27" s="38">
        <f t="shared" si="1"/>
        <v>32700</v>
      </c>
      <c r="I27" s="38">
        <f t="shared" si="1"/>
        <v>33700</v>
      </c>
      <c r="J27" s="55">
        <f t="shared" si="1"/>
        <v>34700</v>
      </c>
    </row>
    <row r="28" spans="1:10" ht="20.1" customHeight="1">
      <c r="A28" s="50" t="s">
        <v>240</v>
      </c>
      <c r="B28" s="36">
        <v>5081</v>
      </c>
      <c r="C28" s="36">
        <v>5311</v>
      </c>
      <c r="D28" s="38">
        <v>7840</v>
      </c>
      <c r="E28" s="38">
        <v>8000</v>
      </c>
      <c r="F28" s="38">
        <v>8330</v>
      </c>
      <c r="G28" s="38">
        <f t="shared" si="1"/>
        <v>8600</v>
      </c>
      <c r="H28" s="38">
        <f t="shared" si="1"/>
        <v>8900</v>
      </c>
      <c r="I28" s="38">
        <f t="shared" si="1"/>
        <v>9200</v>
      </c>
      <c r="J28" s="55">
        <f t="shared" si="1"/>
        <v>9500</v>
      </c>
    </row>
    <row r="29" spans="1:10" ht="20.1" customHeight="1">
      <c r="A29" s="50" t="s">
        <v>241</v>
      </c>
      <c r="B29" s="40">
        <f aca="true" t="shared" si="2" ref="B29:J29">SUM(B20:B28)</f>
        <v>189847</v>
      </c>
      <c r="C29" s="40">
        <f t="shared" si="2"/>
        <v>199086</v>
      </c>
      <c r="D29" s="41">
        <f t="shared" si="2"/>
        <v>206740</v>
      </c>
      <c r="E29" s="41">
        <f t="shared" si="2"/>
        <v>212000</v>
      </c>
      <c r="F29" s="41">
        <f t="shared" si="2"/>
        <v>215100</v>
      </c>
      <c r="G29" s="41">
        <f t="shared" si="2"/>
        <v>221600</v>
      </c>
      <c r="H29" s="41">
        <f t="shared" si="2"/>
        <v>228300</v>
      </c>
      <c r="I29" s="41">
        <f t="shared" si="2"/>
        <v>235200</v>
      </c>
      <c r="J29" s="59">
        <f t="shared" si="2"/>
        <v>242400</v>
      </c>
    </row>
    <row r="30" spans="1:10" ht="20.1" customHeight="1">
      <c r="A30" s="58" t="s">
        <v>323</v>
      </c>
      <c r="B30" s="36">
        <v>0</v>
      </c>
      <c r="C30" s="36">
        <v>0</v>
      </c>
      <c r="D30" s="38">
        <v>100</v>
      </c>
      <c r="E30" s="38">
        <v>0</v>
      </c>
      <c r="F30" s="38">
        <v>100</v>
      </c>
      <c r="G30" s="38">
        <f aca="true" t="shared" si="3" ref="G30:J36">ROUND(F30*1.03,-2)</f>
        <v>100</v>
      </c>
      <c r="H30" s="38">
        <f t="shared" si="3"/>
        <v>100</v>
      </c>
      <c r="I30" s="38">
        <f t="shared" si="3"/>
        <v>100</v>
      </c>
      <c r="J30" s="55">
        <f t="shared" si="3"/>
        <v>100</v>
      </c>
    </row>
    <row r="31" spans="1:10" ht="20.1" customHeight="1">
      <c r="A31" s="50" t="s">
        <v>242</v>
      </c>
      <c r="B31" s="36">
        <v>8141</v>
      </c>
      <c r="C31" s="36">
        <v>9219</v>
      </c>
      <c r="D31" s="38">
        <v>10300</v>
      </c>
      <c r="E31" s="38">
        <v>5500</v>
      </c>
      <c r="F31" s="38">
        <v>10300</v>
      </c>
      <c r="G31" s="38">
        <f t="shared" si="3"/>
        <v>10600</v>
      </c>
      <c r="H31" s="38">
        <f t="shared" si="3"/>
        <v>10900</v>
      </c>
      <c r="I31" s="38">
        <f t="shared" si="3"/>
        <v>11200</v>
      </c>
      <c r="J31" s="55">
        <f t="shared" si="3"/>
        <v>11500</v>
      </c>
    </row>
    <row r="32" spans="1:10" ht="20.1" customHeight="1">
      <c r="A32" s="50" t="s">
        <v>243</v>
      </c>
      <c r="B32" s="36">
        <v>108</v>
      </c>
      <c r="C32" s="36">
        <v>0</v>
      </c>
      <c r="D32" s="38">
        <v>500</v>
      </c>
      <c r="E32" s="38">
        <v>0</v>
      </c>
      <c r="F32" s="38">
        <v>500</v>
      </c>
      <c r="G32" s="38">
        <f t="shared" si="3"/>
        <v>500</v>
      </c>
      <c r="H32" s="38">
        <f t="shared" si="3"/>
        <v>500</v>
      </c>
      <c r="I32" s="38">
        <f t="shared" si="3"/>
        <v>500</v>
      </c>
      <c r="J32" s="55">
        <f t="shared" si="3"/>
        <v>500</v>
      </c>
    </row>
    <row r="33" spans="1:10" ht="20.1" customHeight="1">
      <c r="A33" s="50" t="s">
        <v>244</v>
      </c>
      <c r="B33" s="36">
        <v>12356</v>
      </c>
      <c r="C33" s="36">
        <v>15544</v>
      </c>
      <c r="D33" s="38">
        <v>12000</v>
      </c>
      <c r="E33" s="38">
        <v>13500</v>
      </c>
      <c r="F33" s="38">
        <v>15000</v>
      </c>
      <c r="G33" s="38">
        <f t="shared" si="3"/>
        <v>15500</v>
      </c>
      <c r="H33" s="38">
        <f t="shared" si="3"/>
        <v>16000</v>
      </c>
      <c r="I33" s="38">
        <f t="shared" si="3"/>
        <v>16500</v>
      </c>
      <c r="J33" s="55">
        <f t="shared" si="3"/>
        <v>17000</v>
      </c>
    </row>
    <row r="34" spans="1:10" ht="20.1" customHeight="1">
      <c r="A34" s="50" t="s">
        <v>245</v>
      </c>
      <c r="B34" s="36">
        <v>2044</v>
      </c>
      <c r="C34" s="36">
        <v>163</v>
      </c>
      <c r="D34" s="38">
        <v>1000</v>
      </c>
      <c r="E34" s="38">
        <v>0</v>
      </c>
      <c r="F34" s="38">
        <v>1000</v>
      </c>
      <c r="G34" s="38">
        <f t="shared" si="3"/>
        <v>1000</v>
      </c>
      <c r="H34" s="38">
        <f t="shared" si="3"/>
        <v>1000</v>
      </c>
      <c r="I34" s="38">
        <f t="shared" si="3"/>
        <v>1000</v>
      </c>
      <c r="J34" s="55">
        <f t="shared" si="3"/>
        <v>1000</v>
      </c>
    </row>
    <row r="35" spans="1:10" ht="20.1" customHeight="1">
      <c r="A35" s="50" t="s">
        <v>246</v>
      </c>
      <c r="B35" s="36">
        <v>1675</v>
      </c>
      <c r="C35" s="36">
        <v>4109</v>
      </c>
      <c r="D35" s="38">
        <v>40000</v>
      </c>
      <c r="E35" s="38">
        <v>244.48</v>
      </c>
      <c r="F35" s="38">
        <v>40000</v>
      </c>
      <c r="G35" s="38">
        <f t="shared" si="3"/>
        <v>41200</v>
      </c>
      <c r="H35" s="38">
        <f t="shared" si="3"/>
        <v>42400</v>
      </c>
      <c r="I35" s="38">
        <f t="shared" si="3"/>
        <v>43700</v>
      </c>
      <c r="J35" s="55">
        <f t="shared" si="3"/>
        <v>45000</v>
      </c>
    </row>
    <row r="36" spans="1:10" ht="20.1" customHeight="1">
      <c r="A36" s="50" t="s">
        <v>273</v>
      </c>
      <c r="B36" s="36">
        <v>0</v>
      </c>
      <c r="C36" s="36">
        <v>0</v>
      </c>
      <c r="D36" s="38">
        <v>0</v>
      </c>
      <c r="E36" s="38">
        <v>0</v>
      </c>
      <c r="F36" s="38">
        <f>D36*1.04</f>
        <v>0</v>
      </c>
      <c r="G36" s="38">
        <f t="shared" si="3"/>
        <v>0</v>
      </c>
      <c r="H36" s="38">
        <f t="shared" si="3"/>
        <v>0</v>
      </c>
      <c r="I36" s="38">
        <f t="shared" si="3"/>
        <v>0</v>
      </c>
      <c r="J36" s="55">
        <f t="shared" si="3"/>
        <v>0</v>
      </c>
    </row>
    <row r="37" spans="1:10" ht="20.1" customHeight="1">
      <c r="A37" s="50" t="s">
        <v>247</v>
      </c>
      <c r="B37" s="40">
        <f aca="true" t="shared" si="4" ref="B37:J37">SUM(B30:B36)</f>
        <v>24324</v>
      </c>
      <c r="C37" s="40">
        <f t="shared" si="4"/>
        <v>29035</v>
      </c>
      <c r="D37" s="41">
        <f t="shared" si="4"/>
        <v>63900</v>
      </c>
      <c r="E37" s="41">
        <f t="shared" si="4"/>
        <v>19244.48</v>
      </c>
      <c r="F37" s="41">
        <f t="shared" si="4"/>
        <v>66900</v>
      </c>
      <c r="G37" s="41">
        <f t="shared" si="4"/>
        <v>68900</v>
      </c>
      <c r="H37" s="41">
        <f t="shared" si="4"/>
        <v>70900</v>
      </c>
      <c r="I37" s="41">
        <f t="shared" si="4"/>
        <v>73000</v>
      </c>
      <c r="J37" s="59">
        <f t="shared" si="4"/>
        <v>75100</v>
      </c>
    </row>
    <row r="38" spans="1:10" ht="20.1" customHeight="1">
      <c r="A38" s="58" t="s">
        <v>326</v>
      </c>
      <c r="B38" s="36">
        <v>2191</v>
      </c>
      <c r="C38" s="36">
        <v>17055</v>
      </c>
      <c r="D38" s="38">
        <v>22500</v>
      </c>
      <c r="E38" s="38">
        <v>30000</v>
      </c>
      <c r="F38" s="38">
        <v>26600</v>
      </c>
      <c r="G38" s="38">
        <f>ROUND(F38*1.053,-2)</f>
        <v>28000</v>
      </c>
      <c r="H38" s="38">
        <f aca="true" t="shared" si="5" ref="H38:J43">ROUND(G38*1.03,-2)</f>
        <v>28800</v>
      </c>
      <c r="I38" s="38">
        <f t="shared" si="5"/>
        <v>29700</v>
      </c>
      <c r="J38" s="55">
        <f t="shared" si="5"/>
        <v>30600</v>
      </c>
    </row>
    <row r="39" spans="1:10" ht="20.1" customHeight="1">
      <c r="A39" s="60" t="s">
        <v>248</v>
      </c>
      <c r="B39" s="36">
        <v>1202</v>
      </c>
      <c r="C39" s="36">
        <v>1796</v>
      </c>
      <c r="D39" s="38">
        <v>1300</v>
      </c>
      <c r="E39" s="38">
        <v>1300</v>
      </c>
      <c r="F39" s="38">
        <v>1300</v>
      </c>
      <c r="G39" s="38">
        <f>ROUND(F39*1.053,-2)</f>
        <v>1400</v>
      </c>
      <c r="H39" s="38">
        <f t="shared" si="5"/>
        <v>1400</v>
      </c>
      <c r="I39" s="38">
        <f t="shared" si="5"/>
        <v>1400</v>
      </c>
      <c r="J39" s="55">
        <f t="shared" si="5"/>
        <v>1400</v>
      </c>
    </row>
    <row r="40" spans="1:10" ht="20.1" customHeight="1">
      <c r="A40" s="60" t="s">
        <v>249</v>
      </c>
      <c r="B40" s="36"/>
      <c r="C40" s="36"/>
      <c r="D40" s="38"/>
      <c r="E40" s="38"/>
      <c r="F40" s="38">
        <f>D40*1.04</f>
        <v>0</v>
      </c>
      <c r="G40" s="38">
        <f>ROUND(F40*1.03,-2)</f>
        <v>0</v>
      </c>
      <c r="H40" s="38">
        <f t="shared" si="5"/>
        <v>0</v>
      </c>
      <c r="I40" s="38">
        <f t="shared" si="5"/>
        <v>0</v>
      </c>
      <c r="J40" s="55">
        <f t="shared" si="5"/>
        <v>0</v>
      </c>
    </row>
    <row r="41" spans="1:10" ht="20.1" customHeight="1">
      <c r="A41" s="60" t="s">
        <v>250</v>
      </c>
      <c r="B41" s="36">
        <v>186253</v>
      </c>
      <c r="C41" s="36">
        <v>183506</v>
      </c>
      <c r="D41" s="38">
        <v>190000</v>
      </c>
      <c r="E41" s="38">
        <v>185000</v>
      </c>
      <c r="F41" s="38">
        <v>190000</v>
      </c>
      <c r="G41" s="38">
        <f>ROUND(F41*1.053,-2)</f>
        <v>200100</v>
      </c>
      <c r="H41" s="38">
        <f t="shared" si="5"/>
        <v>206100</v>
      </c>
      <c r="I41" s="38">
        <f t="shared" si="5"/>
        <v>212300</v>
      </c>
      <c r="J41" s="55">
        <f t="shared" si="5"/>
        <v>218700</v>
      </c>
    </row>
    <row r="42" spans="1:10" ht="20.1" customHeight="1">
      <c r="A42" s="60" t="s">
        <v>251</v>
      </c>
      <c r="B42" s="36">
        <v>59175</v>
      </c>
      <c r="C42" s="36">
        <v>59291</v>
      </c>
      <c r="D42" s="38">
        <v>100000</v>
      </c>
      <c r="E42" s="38">
        <v>90000</v>
      </c>
      <c r="F42" s="38">
        <v>100000</v>
      </c>
      <c r="G42" s="38">
        <f>ROUND(F42*1.053,-2)</f>
        <v>105300</v>
      </c>
      <c r="H42" s="38">
        <f t="shared" si="5"/>
        <v>108500</v>
      </c>
      <c r="I42" s="38">
        <f t="shared" si="5"/>
        <v>111800</v>
      </c>
      <c r="J42" s="55">
        <f t="shared" si="5"/>
        <v>115200</v>
      </c>
    </row>
    <row r="43" spans="1:10" ht="20.1" customHeight="1">
      <c r="A43" s="60" t="s">
        <v>252</v>
      </c>
      <c r="B43" s="36">
        <v>14054</v>
      </c>
      <c r="C43" s="36">
        <v>21946</v>
      </c>
      <c r="D43" s="38">
        <v>17000</v>
      </c>
      <c r="E43" s="38">
        <v>18000</v>
      </c>
      <c r="F43" s="38">
        <v>17000</v>
      </c>
      <c r="G43" s="38">
        <f>ROUND(F43*1.053,-2)</f>
        <v>17900</v>
      </c>
      <c r="H43" s="38">
        <f t="shared" si="5"/>
        <v>18400</v>
      </c>
      <c r="I43" s="38">
        <f t="shared" si="5"/>
        <v>19000</v>
      </c>
      <c r="J43" s="55">
        <f t="shared" si="5"/>
        <v>19600</v>
      </c>
    </row>
    <row r="44" spans="1:10" ht="20.1" customHeight="1">
      <c r="A44" s="60" t="s">
        <v>253</v>
      </c>
      <c r="B44" s="36">
        <f>222881-B45</f>
        <v>191057</v>
      </c>
      <c r="C44" s="36">
        <f>260782-C45</f>
        <v>227998</v>
      </c>
      <c r="D44" s="38">
        <f>197800-D45-D46</f>
        <v>161224</v>
      </c>
      <c r="E44" s="38">
        <f>256666-E45-E46</f>
        <v>207898</v>
      </c>
      <c r="F44" s="38">
        <f>212000-F45-F46</f>
        <v>161768.96</v>
      </c>
      <c r="G44" s="38">
        <f>ROUND(F44*1.053,-2)-G45-G46</f>
        <v>118562.0288</v>
      </c>
      <c r="H44" s="38">
        <f>ROUND(G44*1.03,-2)-H45-H46</f>
        <v>68809.53141928799</v>
      </c>
      <c r="I44" s="38">
        <f>ROUND(H44*1.03,-2)-I45-I46</f>
        <v>16010.817361866633</v>
      </c>
      <c r="J44" s="55">
        <f>ROUND(I44*1.03,-2)</f>
        <v>16500</v>
      </c>
    </row>
    <row r="45" spans="1:10" ht="20.1" customHeight="1">
      <c r="A45" s="60" t="s">
        <v>254</v>
      </c>
      <c r="B45" s="36">
        <f>2652*12</f>
        <v>31824</v>
      </c>
      <c r="C45" s="36">
        <f>2732*12</f>
        <v>32784</v>
      </c>
      <c r="D45" s="38">
        <f>(2814)*9</f>
        <v>25326</v>
      </c>
      <c r="E45" s="38">
        <f>(2814)*12</f>
        <v>33768</v>
      </c>
      <c r="F45" s="38">
        <f>E45*1.03</f>
        <v>34781.04</v>
      </c>
      <c r="G45" s="38">
        <f>F45*1.03</f>
        <v>35824.4712</v>
      </c>
      <c r="H45" s="38">
        <f>G45*1.03001</f>
        <v>36899.563580712005</v>
      </c>
      <c r="I45" s="38">
        <f>H45*1.03</f>
        <v>38006.55048813337</v>
      </c>
      <c r="J45" s="55">
        <f>ROUND(I45*1.03,-2)</f>
        <v>39100</v>
      </c>
    </row>
    <row r="46" spans="1:10" ht="20.1" customHeight="1">
      <c r="A46" s="60" t="str">
        <f>"      - McGough Contract - City Hall"</f>
        <v xml:space="preserve">      - McGough Contract - City Hall</v>
      </c>
      <c r="B46" s="36">
        <v>0</v>
      </c>
      <c r="C46" s="36">
        <v>0</v>
      </c>
      <c r="D46" s="38">
        <f>1250*9</f>
        <v>11250</v>
      </c>
      <c r="E46" s="38">
        <f>1250*12</f>
        <v>15000</v>
      </c>
      <c r="F46" s="38">
        <f>E46*1.03</f>
        <v>15450</v>
      </c>
      <c r="G46" s="38">
        <f>F46*1.03</f>
        <v>15913.5</v>
      </c>
      <c r="H46" s="38">
        <f>G46*1.03</f>
        <v>16390.905</v>
      </c>
      <c r="I46" s="38">
        <f>H46*1.03</f>
        <v>16882.632149999998</v>
      </c>
      <c r="J46" s="55">
        <f>ROUND(I46*1.03,-2)</f>
        <v>17400</v>
      </c>
    </row>
    <row r="47" spans="1:10" ht="20.1" customHeight="1">
      <c r="A47" s="60" t="str">
        <f>"      - McGough Contract - Public Works"</f>
        <v xml:space="preserve">      - McGough Contract - Public Works</v>
      </c>
      <c r="B47" s="36">
        <v>3862</v>
      </c>
      <c r="C47" s="36">
        <v>7596</v>
      </c>
      <c r="D47" s="38">
        <v>11900</v>
      </c>
      <c r="E47" s="38">
        <v>4765.48</v>
      </c>
      <c r="F47" s="38">
        <v>8700</v>
      </c>
      <c r="G47" s="38">
        <f>ROUND(F47*1.053,-2)</f>
        <v>9200</v>
      </c>
      <c r="H47" s="38">
        <f>ROUND(G47*1.03,-2)</f>
        <v>9500</v>
      </c>
      <c r="I47" s="38">
        <f>ROUND(H47*1.03,-2)</f>
        <v>9800</v>
      </c>
      <c r="J47" s="55">
        <f>ROUND(I47*1.03,-2)</f>
        <v>10100</v>
      </c>
    </row>
    <row r="48" spans="1:10" ht="20.1" customHeight="1">
      <c r="A48" s="60" t="s">
        <v>255</v>
      </c>
      <c r="B48" s="36">
        <v>16016</v>
      </c>
      <c r="C48" s="36">
        <v>11483</v>
      </c>
      <c r="D48" s="38">
        <v>12680</v>
      </c>
      <c r="E48" s="38">
        <v>12000</v>
      </c>
      <c r="F48" s="38">
        <v>14500</v>
      </c>
      <c r="G48" s="38">
        <f>ROUND(F48*1.053,-2)</f>
        <v>15300</v>
      </c>
      <c r="H48" s="38">
        <f>ROUND(G48*1.03,-2)</f>
        <v>15800</v>
      </c>
      <c r="I48" s="38">
        <f>ROUND(H48*1.03,-2)</f>
        <v>16300</v>
      </c>
      <c r="J48" s="55">
        <f>ROUND(I48*1.03,-2)</f>
        <v>16800</v>
      </c>
    </row>
    <row r="49" spans="1:10" ht="20.1" customHeight="1">
      <c r="A49" s="60" t="s">
        <v>256</v>
      </c>
      <c r="B49" s="40">
        <f aca="true" t="shared" si="6" ref="B49:J49">SUM(B38:B48)</f>
        <v>505634</v>
      </c>
      <c r="C49" s="40">
        <f t="shared" si="6"/>
        <v>563455</v>
      </c>
      <c r="D49" s="40">
        <f t="shared" si="6"/>
        <v>553180</v>
      </c>
      <c r="E49" s="40">
        <f t="shared" si="6"/>
        <v>597731.48</v>
      </c>
      <c r="F49" s="40">
        <f t="shared" si="6"/>
        <v>570100</v>
      </c>
      <c r="G49" s="40">
        <f t="shared" si="6"/>
        <v>547500</v>
      </c>
      <c r="H49" s="40">
        <f t="shared" si="6"/>
        <v>510600</v>
      </c>
      <c r="I49" s="40">
        <f t="shared" si="6"/>
        <v>471200.00000000006</v>
      </c>
      <c r="J49" s="61">
        <f t="shared" si="6"/>
        <v>485400</v>
      </c>
    </row>
    <row r="50" spans="1:10" ht="20.1" customHeight="1" hidden="1">
      <c r="A50" s="58" t="s">
        <v>325</v>
      </c>
      <c r="B50" s="36">
        <v>0</v>
      </c>
      <c r="C50" s="36">
        <v>0</v>
      </c>
      <c r="D50" s="38">
        <v>0</v>
      </c>
      <c r="E50" s="38">
        <v>0</v>
      </c>
      <c r="F50" s="38">
        <f aca="true" t="shared" si="7" ref="F50:J51">D50*1.04</f>
        <v>0</v>
      </c>
      <c r="G50" s="38">
        <f t="shared" si="7"/>
        <v>0</v>
      </c>
      <c r="H50" s="38">
        <f t="shared" si="7"/>
        <v>0</v>
      </c>
      <c r="I50" s="38">
        <f t="shared" si="7"/>
        <v>0</v>
      </c>
      <c r="J50" s="55">
        <f t="shared" si="7"/>
        <v>0</v>
      </c>
    </row>
    <row r="51" spans="1:10" ht="20.1" customHeight="1" hidden="1">
      <c r="A51" s="60" t="s">
        <v>258</v>
      </c>
      <c r="B51" s="36">
        <v>0</v>
      </c>
      <c r="C51" s="36">
        <v>0</v>
      </c>
      <c r="D51" s="38">
        <f>15000-15000</f>
        <v>0</v>
      </c>
      <c r="E51" s="38">
        <f>15000-15000</f>
        <v>0</v>
      </c>
      <c r="F51" s="38">
        <f t="shared" si="7"/>
        <v>0</v>
      </c>
      <c r="G51" s="38">
        <f t="shared" si="7"/>
        <v>0</v>
      </c>
      <c r="H51" s="38">
        <f t="shared" si="7"/>
        <v>0</v>
      </c>
      <c r="I51" s="38">
        <f t="shared" si="7"/>
        <v>0</v>
      </c>
      <c r="J51" s="55">
        <f t="shared" si="7"/>
        <v>0</v>
      </c>
    </row>
    <row r="52" spans="1:10" ht="20.1" customHeight="1" hidden="1">
      <c r="A52" s="60" t="s">
        <v>259</v>
      </c>
      <c r="B52" s="36">
        <v>0</v>
      </c>
      <c r="C52" s="36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55">
        <v>0</v>
      </c>
    </row>
    <row r="53" spans="1:10" ht="20.1" customHeight="1" hidden="1">
      <c r="A53" s="60" t="s">
        <v>260</v>
      </c>
      <c r="B53" s="36">
        <v>0</v>
      </c>
      <c r="C53" s="36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55">
        <v>0</v>
      </c>
    </row>
    <row r="54" spans="1:10" ht="20.1" customHeight="1" hidden="1">
      <c r="A54" s="60" t="s">
        <v>261</v>
      </c>
      <c r="B54" s="36">
        <v>0</v>
      </c>
      <c r="C54" s="36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55">
        <v>0</v>
      </c>
    </row>
    <row r="55" spans="1:10" ht="20.1" customHeight="1">
      <c r="A55" s="60" t="s">
        <v>262</v>
      </c>
      <c r="B55" s="36">
        <v>0</v>
      </c>
      <c r="C55" s="36">
        <v>0</v>
      </c>
      <c r="D55" s="38">
        <v>0</v>
      </c>
      <c r="E55" s="38">
        <v>0</v>
      </c>
      <c r="F55" s="38">
        <v>791000</v>
      </c>
      <c r="G55" s="38">
        <v>791000</v>
      </c>
      <c r="H55" s="38">
        <v>791000</v>
      </c>
      <c r="I55" s="38">
        <v>791000</v>
      </c>
      <c r="J55" s="55">
        <v>791000</v>
      </c>
    </row>
    <row r="56" spans="1:10" ht="20.1" customHeight="1">
      <c r="A56" s="60" t="s">
        <v>257</v>
      </c>
      <c r="B56" s="40">
        <f>SUM(B50:B54)</f>
        <v>0</v>
      </c>
      <c r="C56" s="40">
        <f>SUM(C50:C54)</f>
        <v>0</v>
      </c>
      <c r="D56" s="41">
        <f>SUM(D50:D54)</f>
        <v>0</v>
      </c>
      <c r="E56" s="41">
        <f>SUM(E50:E54)</f>
        <v>0</v>
      </c>
      <c r="F56" s="41">
        <f>SUM(F50:F55)</f>
        <v>791000</v>
      </c>
      <c r="G56" s="41">
        <f>SUM(G50:G55)</f>
        <v>791000</v>
      </c>
      <c r="H56" s="41">
        <f>SUM(H50:H55)</f>
        <v>791000</v>
      </c>
      <c r="I56" s="41">
        <f>SUM(I50:I55)</f>
        <v>791000</v>
      </c>
      <c r="J56" s="59">
        <f>SUM(J50:J55)</f>
        <v>791000</v>
      </c>
    </row>
    <row r="57" spans="1:10" ht="20.1" customHeight="1">
      <c r="A57" s="58" t="s">
        <v>324</v>
      </c>
      <c r="B57" s="40">
        <f aca="true" t="shared" si="8" ref="B57:E57">+B29+B37+B49+B56</f>
        <v>719805</v>
      </c>
      <c r="C57" s="40">
        <f t="shared" si="8"/>
        <v>791576</v>
      </c>
      <c r="D57" s="41">
        <f t="shared" si="8"/>
        <v>823820</v>
      </c>
      <c r="E57" s="41">
        <f t="shared" si="8"/>
        <v>828975.96</v>
      </c>
      <c r="F57" s="41">
        <f>+F29+F37+F49+F56</f>
        <v>1643100</v>
      </c>
      <c r="G57" s="41">
        <f>+G29+G37+G49+G56</f>
        <v>1629000</v>
      </c>
      <c r="H57" s="41">
        <f>+H29+H37+H49+H56</f>
        <v>1600800</v>
      </c>
      <c r="I57" s="41">
        <f>+I29+I37+I49+I56</f>
        <v>1570400</v>
      </c>
      <c r="J57" s="59">
        <f>+J29+J37+J49+J56</f>
        <v>1593900</v>
      </c>
    </row>
    <row r="58" spans="1:10" ht="20.1" customHeight="1">
      <c r="A58" s="62"/>
      <c r="B58" s="36"/>
      <c r="C58" s="36"/>
      <c r="D58" s="38"/>
      <c r="E58" s="38"/>
      <c r="F58" s="38"/>
      <c r="G58" s="38"/>
      <c r="H58" s="38"/>
      <c r="I58" s="38"/>
      <c r="J58" s="55"/>
    </row>
    <row r="59" spans="1:10" ht="20.1" customHeight="1">
      <c r="A59" s="48" t="s">
        <v>263</v>
      </c>
      <c r="B59" s="36">
        <v>0</v>
      </c>
      <c r="C59" s="36">
        <v>0</v>
      </c>
      <c r="D59" s="38">
        <v>0</v>
      </c>
      <c r="E59" s="38">
        <v>0</v>
      </c>
      <c r="F59" s="38"/>
      <c r="G59" s="38"/>
      <c r="H59" s="38"/>
      <c r="I59" s="38"/>
      <c r="J59" s="55"/>
    </row>
    <row r="60" spans="1:10" ht="20.1" customHeight="1">
      <c r="A60" s="62" t="s">
        <v>264</v>
      </c>
      <c r="B60" s="36"/>
      <c r="C60" s="36"/>
      <c r="D60" s="38"/>
      <c r="E60" s="38"/>
      <c r="F60" s="38">
        <f>4300+19500+5650</f>
        <v>29450</v>
      </c>
      <c r="G60" s="38"/>
      <c r="H60" s="38"/>
      <c r="I60" s="38"/>
      <c r="J60" s="55"/>
    </row>
    <row r="61" spans="1:10" ht="20.1" customHeight="1" hidden="1">
      <c r="A61" s="60" t="str">
        <f>"      - Lavatory Improvements"</f>
        <v xml:space="preserve">      - Lavatory Improvements</v>
      </c>
      <c r="B61" s="36"/>
      <c r="C61" s="36"/>
      <c r="D61" s="38"/>
      <c r="E61" s="38"/>
      <c r="F61" s="38"/>
      <c r="G61" s="38"/>
      <c r="H61" s="38"/>
      <c r="I61" s="38"/>
      <c r="J61" s="55"/>
    </row>
    <row r="62" spans="1:10" ht="20.1" customHeight="1" hidden="1">
      <c r="A62" s="60" t="str">
        <f>"      - Water Fountain/Bottle Filler"</f>
        <v xml:space="preserve">      - Water Fountain/Bottle Filler</v>
      </c>
      <c r="B62" s="36"/>
      <c r="C62" s="36"/>
      <c r="D62" s="38"/>
      <c r="E62" s="38"/>
      <c r="F62" s="38"/>
      <c r="G62" s="38"/>
      <c r="H62" s="38"/>
      <c r="I62" s="38"/>
      <c r="J62" s="55"/>
    </row>
    <row r="63" spans="1:10" ht="20.1" customHeight="1" hidden="1">
      <c r="A63" s="60" t="str">
        <f>"      - Sink/Wash Station"</f>
        <v xml:space="preserve">      - Sink/Wash Station</v>
      </c>
      <c r="B63" s="36"/>
      <c r="C63" s="36"/>
      <c r="D63" s="38"/>
      <c r="E63" s="38"/>
      <c r="F63" s="38"/>
      <c r="G63" s="38"/>
      <c r="H63" s="38"/>
      <c r="I63" s="38"/>
      <c r="J63" s="55"/>
    </row>
    <row r="64" spans="1:10" ht="20.1" customHeight="1">
      <c r="A64" s="60" t="str">
        <f>"      - Air Hand Dryers"</f>
        <v xml:space="preserve">      - Air Hand Dryers</v>
      </c>
      <c r="B64" s="36"/>
      <c r="C64" s="36"/>
      <c r="D64" s="38"/>
      <c r="E64" s="38"/>
      <c r="F64" s="38">
        <f>9100+30000+20000</f>
        <v>59100</v>
      </c>
      <c r="G64" s="38"/>
      <c r="H64" s="38"/>
      <c r="I64" s="38"/>
      <c r="J64" s="55"/>
    </row>
    <row r="65" spans="1:10" ht="20.1" customHeight="1" hidden="1">
      <c r="A65" s="60" t="str">
        <f>"      - Office Buildout"</f>
        <v xml:space="preserve">      - Office Buildout</v>
      </c>
      <c r="B65" s="36"/>
      <c r="C65" s="36"/>
      <c r="D65" s="38"/>
      <c r="E65" s="38"/>
      <c r="F65" s="38"/>
      <c r="G65" s="38"/>
      <c r="H65" s="38"/>
      <c r="I65" s="38"/>
      <c r="J65" s="55"/>
    </row>
    <row r="66" spans="1:10" ht="20.1" customHeight="1">
      <c r="A66" s="60" t="str">
        <f>"      - Light Fixtures/LED"</f>
        <v xml:space="preserve">      - Light Fixtures/LED</v>
      </c>
      <c r="B66" s="36"/>
      <c r="C66" s="36"/>
      <c r="D66" s="38"/>
      <c r="E66" s="38"/>
      <c r="F66" s="38">
        <v>12000</v>
      </c>
      <c r="G66" s="38"/>
      <c r="H66" s="38"/>
      <c r="I66" s="38"/>
      <c r="J66" s="55"/>
    </row>
    <row r="67" spans="1:10" ht="20.1" customHeight="1" hidden="1">
      <c r="A67" s="60" t="str">
        <f>"      - Bird Netting"</f>
        <v xml:space="preserve">      - Bird Netting</v>
      </c>
      <c r="B67" s="36"/>
      <c r="C67" s="36"/>
      <c r="D67" s="38"/>
      <c r="E67" s="38"/>
      <c r="F67" s="38"/>
      <c r="G67" s="38"/>
      <c r="H67" s="38"/>
      <c r="I67" s="38"/>
      <c r="J67" s="55"/>
    </row>
    <row r="68" spans="1:10" ht="20.1" customHeight="1" hidden="1">
      <c r="A68" s="60" t="str">
        <f>"      - Office/Cube Space"</f>
        <v xml:space="preserve">      - Office/Cube Space</v>
      </c>
      <c r="B68" s="36"/>
      <c r="C68" s="36"/>
      <c r="D68" s="38"/>
      <c r="E68" s="38"/>
      <c r="F68" s="38"/>
      <c r="G68" s="38"/>
      <c r="H68" s="38"/>
      <c r="I68" s="38"/>
      <c r="J68" s="55"/>
    </row>
    <row r="69" spans="1:10" ht="20.1" customHeight="1">
      <c r="A69" s="60" t="str">
        <f>"      - Security System Software"</f>
        <v xml:space="preserve">      - Security System Software</v>
      </c>
      <c r="B69" s="36"/>
      <c r="C69" s="36"/>
      <c r="D69" s="38"/>
      <c r="E69" s="38"/>
      <c r="F69" s="38">
        <v>77300</v>
      </c>
      <c r="G69" s="38"/>
      <c r="H69" s="38"/>
      <c r="I69" s="38"/>
      <c r="J69" s="55"/>
    </row>
    <row r="70" spans="1:10" ht="19.5" customHeight="1">
      <c r="A70" s="60" t="str">
        <f>"      - Car Wash System"</f>
        <v xml:space="preserve">      - Car Wash System</v>
      </c>
      <c r="B70" s="36"/>
      <c r="C70" s="36"/>
      <c r="D70" s="38"/>
      <c r="E70" s="38"/>
      <c r="F70" s="38"/>
      <c r="G70" s="38">
        <v>430000</v>
      </c>
      <c r="H70" s="38"/>
      <c r="I70" s="38"/>
      <c r="J70" s="55"/>
    </row>
    <row r="71" spans="1:10" ht="20.1" customHeight="1">
      <c r="A71" s="60" t="str">
        <f>"      - Roof Replacement/Repair"</f>
        <v xml:space="preserve">      - Roof Replacement/Repair</v>
      </c>
      <c r="B71" s="36"/>
      <c r="C71" s="36"/>
      <c r="D71" s="38"/>
      <c r="E71" s="38"/>
      <c r="F71" s="38"/>
      <c r="G71" s="38"/>
      <c r="H71" s="38">
        <v>47000</v>
      </c>
      <c r="I71" s="38"/>
      <c r="J71" s="55"/>
    </row>
    <row r="72" spans="1:10" ht="20.1" customHeight="1">
      <c r="A72" s="60" t="str">
        <f>"      - A/C Unit for Computer Room"</f>
        <v xml:space="preserve">      - A/C Unit for Computer Room</v>
      </c>
      <c r="B72" s="36">
        <v>10000</v>
      </c>
      <c r="C72" s="36">
        <v>167110</v>
      </c>
      <c r="D72" s="38">
        <v>308000</v>
      </c>
      <c r="E72" s="38">
        <v>335000</v>
      </c>
      <c r="F72" s="38"/>
      <c r="G72" s="38"/>
      <c r="H72" s="38"/>
      <c r="I72" s="38"/>
      <c r="J72" s="55"/>
    </row>
    <row r="73" spans="1:10" ht="20.1" customHeight="1">
      <c r="A73" s="48" t="s">
        <v>265</v>
      </c>
      <c r="B73" s="36"/>
      <c r="C73" s="36"/>
      <c r="D73" s="38"/>
      <c r="E73" s="38"/>
      <c r="F73" s="38">
        <f>15000+22000+18875</f>
        <v>55875</v>
      </c>
      <c r="G73" s="38">
        <f>13500+26400</f>
        <v>39900</v>
      </c>
      <c r="H73" s="38">
        <f>41000+27200</f>
        <v>68200</v>
      </c>
      <c r="I73" s="38">
        <f>28000+54000</f>
        <v>82000</v>
      </c>
      <c r="J73" s="55">
        <f>31300+28600</f>
        <v>59900</v>
      </c>
    </row>
    <row r="74" spans="1:10" ht="20.1" customHeight="1" hidden="1">
      <c r="A74" s="48" t="s">
        <v>316</v>
      </c>
      <c r="B74" s="36"/>
      <c r="C74" s="36"/>
      <c r="D74" s="38"/>
      <c r="E74" s="38"/>
      <c r="F74" s="38"/>
      <c r="G74" s="38"/>
      <c r="H74" s="38"/>
      <c r="I74" s="38"/>
      <c r="J74" s="55"/>
    </row>
    <row r="75" spans="1:10" ht="20.1" customHeight="1" hidden="1">
      <c r="A75" s="60" t="str">
        <f>"      - Exterior Caulking"</f>
        <v xml:space="preserve">      - Exterior Caulking</v>
      </c>
      <c r="B75" s="36"/>
      <c r="C75" s="36"/>
      <c r="D75" s="38"/>
      <c r="E75" s="38"/>
      <c r="F75" s="38"/>
      <c r="G75" s="38"/>
      <c r="H75" s="38"/>
      <c r="I75" s="38"/>
      <c r="J75" s="55"/>
    </row>
    <row r="76" spans="1:10" ht="20.1" customHeight="1" hidden="1">
      <c r="A76" s="60" t="str">
        <f>"      - Carpet Replacement"</f>
        <v xml:space="preserve">      - Carpet Replacement</v>
      </c>
      <c r="B76" s="36"/>
      <c r="C76" s="36"/>
      <c r="D76" s="38"/>
      <c r="E76" s="38"/>
      <c r="F76" s="38"/>
      <c r="G76" s="38"/>
      <c r="H76" s="38"/>
      <c r="I76" s="38"/>
      <c r="J76" s="55"/>
    </row>
    <row r="77" spans="1:10" ht="20.1" customHeight="1" hidden="1">
      <c r="A77" s="60" t="str">
        <f>"      - Seal/Patch flooring repairs - Unheated Garage"</f>
        <v xml:space="preserve">      - Seal/Patch flooring repairs - Unheated Garage</v>
      </c>
      <c r="B77" s="36"/>
      <c r="C77" s="36"/>
      <c r="D77" s="38"/>
      <c r="E77" s="38"/>
      <c r="F77" s="38"/>
      <c r="G77" s="38"/>
      <c r="H77" s="38"/>
      <c r="I77" s="38"/>
      <c r="J77" s="55"/>
    </row>
    <row r="78" spans="1:10" ht="20.1" customHeight="1" hidden="1">
      <c r="A78" s="60" t="str">
        <f>"      - VAV Controllers"</f>
        <v xml:space="preserve">      - VAV Controllers</v>
      </c>
      <c r="B78" s="36"/>
      <c r="C78" s="36"/>
      <c r="D78" s="38"/>
      <c r="E78" s="38"/>
      <c r="F78" s="38"/>
      <c r="G78" s="38"/>
      <c r="H78" s="38"/>
      <c r="I78" s="38"/>
      <c r="J78" s="55"/>
    </row>
    <row r="79" spans="1:10" ht="20.1" customHeight="1">
      <c r="A79" s="60" t="str">
        <f>"      - Parking Lot Replacement"</f>
        <v xml:space="preserve">      - Parking Lot Replacement</v>
      </c>
      <c r="B79" s="36"/>
      <c r="C79" s="36"/>
      <c r="D79" s="38"/>
      <c r="E79" s="38"/>
      <c r="F79" s="38"/>
      <c r="G79" s="38">
        <v>100800</v>
      </c>
      <c r="H79" s="38"/>
      <c r="I79" s="38"/>
      <c r="J79" s="55"/>
    </row>
    <row r="80" spans="1:10" ht="20.1" customHeight="1">
      <c r="A80" s="60" t="str">
        <f>"            - South Parking Lot"</f>
        <v xml:space="preserve">            - South Parking Lot</v>
      </c>
      <c r="B80" s="36"/>
      <c r="C80" s="36"/>
      <c r="D80" s="38"/>
      <c r="E80" s="38"/>
      <c r="F80" s="38"/>
      <c r="G80" s="38">
        <v>31800</v>
      </c>
      <c r="H80" s="38"/>
      <c r="I80" s="38"/>
      <c r="J80" s="55"/>
    </row>
    <row r="81" spans="1:10" ht="20.1" customHeight="1">
      <c r="A81" s="60" t="str">
        <f>"            - Police Parking Lot"</f>
        <v xml:space="preserve">            - Police Parking Lot</v>
      </c>
      <c r="B81" s="36"/>
      <c r="C81" s="36"/>
      <c r="D81" s="38"/>
      <c r="E81" s="38"/>
      <c r="F81" s="38"/>
      <c r="G81" s="38">
        <v>31800</v>
      </c>
      <c r="H81" s="38"/>
      <c r="I81" s="38"/>
      <c r="J81" s="55"/>
    </row>
    <row r="82" spans="1:10" ht="20.1" customHeight="1" hidden="1">
      <c r="A82" s="60" t="str">
        <f>"            - Fire Parking Lot"</f>
        <v xml:space="preserve">            - Fire Parking Lot</v>
      </c>
      <c r="B82" s="36"/>
      <c r="C82" s="36"/>
      <c r="D82" s="38"/>
      <c r="E82" s="38"/>
      <c r="F82" s="38"/>
      <c r="G82" s="38"/>
      <c r="H82" s="38"/>
      <c r="I82" s="38"/>
      <c r="J82" s="55"/>
    </row>
    <row r="83" spans="1:10" ht="20.1" customHeight="1" hidden="1">
      <c r="A83" s="60" t="str">
        <f>"      - Replacement Pumps"</f>
        <v xml:space="preserve">      - Replacement Pumps</v>
      </c>
      <c r="B83" s="36"/>
      <c r="C83" s="36"/>
      <c r="D83" s="38"/>
      <c r="E83" s="38"/>
      <c r="F83" s="38"/>
      <c r="G83" s="38"/>
      <c r="H83" s="38"/>
      <c r="I83" s="38"/>
      <c r="J83" s="55"/>
    </row>
    <row r="84" spans="1:10" ht="20.1" customHeight="1" hidden="1">
      <c r="A84" s="60" t="str">
        <f>"      - Atrium &amp; Exterior Painting"</f>
        <v xml:space="preserve">      - Atrium &amp; Exterior Painting</v>
      </c>
      <c r="B84" s="36"/>
      <c r="C84" s="36"/>
      <c r="D84" s="38"/>
      <c r="E84" s="38"/>
      <c r="F84" s="38"/>
      <c r="G84" s="38"/>
      <c r="H84" s="38"/>
      <c r="I84" s="38"/>
      <c r="J84" s="55"/>
    </row>
    <row r="85" spans="1:10" ht="20.1" customHeight="1">
      <c r="A85" s="60" t="str">
        <f>"      - Exhaust Fan Replacements"</f>
        <v xml:space="preserve">      - Exhaust Fan Replacements</v>
      </c>
      <c r="B85" s="36"/>
      <c r="C85" s="36"/>
      <c r="D85" s="38"/>
      <c r="E85" s="38"/>
      <c r="F85" s="38">
        <v>1956620</v>
      </c>
      <c r="G85" s="38">
        <v>2243380</v>
      </c>
      <c r="H85" s="38"/>
      <c r="I85" s="38"/>
      <c r="J85" s="55"/>
    </row>
    <row r="86" spans="1:10" ht="20.1" customHeight="1">
      <c r="A86" s="62" t="s">
        <v>313</v>
      </c>
      <c r="B86" s="36"/>
      <c r="C86" s="36"/>
      <c r="D86" s="38"/>
      <c r="E86" s="38"/>
      <c r="F86" s="38">
        <v>3900000</v>
      </c>
      <c r="G86" s="38"/>
      <c r="H86" s="38"/>
      <c r="I86" s="38"/>
      <c r="J86" s="55"/>
    </row>
    <row r="87" spans="1:10" ht="20.1" customHeight="1" hidden="1">
      <c r="A87" s="62" t="s">
        <v>314</v>
      </c>
      <c r="B87" s="36">
        <v>0</v>
      </c>
      <c r="C87" s="36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55">
        <v>0</v>
      </c>
    </row>
    <row r="88" spans="1:10" ht="20.1" customHeight="1">
      <c r="A88" s="50" t="s">
        <v>266</v>
      </c>
      <c r="B88" s="36">
        <v>49987.86</v>
      </c>
      <c r="C88" s="36">
        <v>0</v>
      </c>
      <c r="D88" s="38">
        <v>63500</v>
      </c>
      <c r="E88" s="38">
        <v>0</v>
      </c>
      <c r="F88" s="38">
        <v>0</v>
      </c>
      <c r="G88" s="38">
        <v>650</v>
      </c>
      <c r="H88" s="38"/>
      <c r="I88" s="38">
        <v>0</v>
      </c>
      <c r="J88" s="55">
        <v>0</v>
      </c>
    </row>
    <row r="89" spans="1:10" ht="20.1" customHeight="1" hidden="1">
      <c r="A89" s="50" t="s">
        <v>117</v>
      </c>
      <c r="B89" s="36">
        <v>0</v>
      </c>
      <c r="C89" s="36">
        <v>0</v>
      </c>
      <c r="D89" s="38">
        <v>0</v>
      </c>
      <c r="E89" s="38">
        <v>18000</v>
      </c>
      <c r="F89" s="38">
        <v>0</v>
      </c>
      <c r="G89" s="38">
        <v>0</v>
      </c>
      <c r="H89" s="38">
        <v>0</v>
      </c>
      <c r="I89" s="38">
        <v>0</v>
      </c>
      <c r="J89" s="55">
        <v>0</v>
      </c>
    </row>
    <row r="90" spans="1:10" ht="20.1" customHeight="1">
      <c r="A90" s="50" t="s">
        <v>267</v>
      </c>
      <c r="B90" s="40">
        <f aca="true" t="shared" si="9" ref="B90:J90">SUM(B59:B89)</f>
        <v>59987.86</v>
      </c>
      <c r="C90" s="40">
        <f t="shared" si="9"/>
        <v>167110</v>
      </c>
      <c r="D90" s="41">
        <f t="shared" si="9"/>
        <v>371500</v>
      </c>
      <c r="E90" s="41">
        <f t="shared" si="9"/>
        <v>353000</v>
      </c>
      <c r="F90" s="41">
        <f t="shared" si="9"/>
        <v>6090345</v>
      </c>
      <c r="G90" s="41">
        <f t="shared" si="9"/>
        <v>2878330</v>
      </c>
      <c r="H90" s="41">
        <f t="shared" si="9"/>
        <v>115200</v>
      </c>
      <c r="I90" s="41">
        <f t="shared" si="9"/>
        <v>82000</v>
      </c>
      <c r="J90" s="59">
        <f t="shared" si="9"/>
        <v>59900</v>
      </c>
    </row>
    <row r="91" spans="1:10" ht="20.1" customHeight="1">
      <c r="A91" s="63"/>
      <c r="B91" s="39">
        <f>B29+B37+B49+B56+B90</f>
        <v>779792.86</v>
      </c>
      <c r="C91" s="39">
        <f>C29+C37+C49+C56+C90</f>
        <v>958686</v>
      </c>
      <c r="D91" s="39">
        <f aca="true" t="shared" si="10" ref="D91:J91">+D29+D37+D49+D56+D90</f>
        <v>1195320</v>
      </c>
      <c r="E91" s="39">
        <f t="shared" si="10"/>
        <v>1181975.96</v>
      </c>
      <c r="F91" s="39">
        <f t="shared" si="10"/>
        <v>7733445</v>
      </c>
      <c r="G91" s="39">
        <f t="shared" si="10"/>
        <v>4507330</v>
      </c>
      <c r="H91" s="39">
        <f t="shared" si="10"/>
        <v>1716000</v>
      </c>
      <c r="I91" s="39">
        <f t="shared" si="10"/>
        <v>1652400</v>
      </c>
      <c r="J91" s="56">
        <f t="shared" si="10"/>
        <v>1653800</v>
      </c>
    </row>
    <row r="92" spans="1:10" ht="20.1" customHeight="1">
      <c r="A92" s="48" t="s">
        <v>268</v>
      </c>
      <c r="B92" s="32"/>
      <c r="C92" s="32"/>
      <c r="D92" s="32"/>
      <c r="E92" s="32"/>
      <c r="F92" s="32"/>
      <c r="G92" s="32"/>
      <c r="H92" s="32"/>
      <c r="I92" s="32"/>
      <c r="J92" s="57"/>
    </row>
    <row r="93" spans="1:10" ht="20.1" customHeight="1">
      <c r="A93" s="50"/>
      <c r="B93" s="39">
        <f aca="true" t="shared" si="11" ref="B93:J93">+B16-B91</f>
        <v>-779792.86</v>
      </c>
      <c r="C93" s="39">
        <f t="shared" si="11"/>
        <v>-958686</v>
      </c>
      <c r="D93" s="39">
        <f t="shared" si="11"/>
        <v>-1195320</v>
      </c>
      <c r="E93" s="39">
        <f t="shared" si="11"/>
        <v>-1181975.96</v>
      </c>
      <c r="F93" s="39">
        <f t="shared" si="11"/>
        <v>1546155</v>
      </c>
      <c r="G93" s="39">
        <f t="shared" si="11"/>
        <v>-3523330</v>
      </c>
      <c r="H93" s="39">
        <f t="shared" si="11"/>
        <v>-699800</v>
      </c>
      <c r="I93" s="39">
        <f t="shared" si="11"/>
        <v>-608200</v>
      </c>
      <c r="J93" s="56">
        <f t="shared" si="11"/>
        <v>-575700</v>
      </c>
    </row>
    <row r="94" spans="1:10" ht="20.1" customHeight="1">
      <c r="A94" s="48" t="s">
        <v>269</v>
      </c>
      <c r="B94" s="32"/>
      <c r="C94" s="32"/>
      <c r="D94" s="32"/>
      <c r="E94" s="32"/>
      <c r="F94" s="32"/>
      <c r="G94" s="32"/>
      <c r="H94" s="32"/>
      <c r="I94" s="32"/>
      <c r="J94" s="57"/>
    </row>
    <row r="95" spans="1:10" ht="20.1" customHeight="1">
      <c r="A95" s="50"/>
      <c r="B95" s="65">
        <f aca="true" t="shared" si="12" ref="B95:J95">+B4+B93</f>
        <v>-779792.86</v>
      </c>
      <c r="C95" s="65">
        <f t="shared" si="12"/>
        <v>-958686</v>
      </c>
      <c r="D95" s="65">
        <f t="shared" si="12"/>
        <v>-1195320</v>
      </c>
      <c r="E95" s="65">
        <f t="shared" si="12"/>
        <v>-1181975.96</v>
      </c>
      <c r="F95" s="65">
        <f t="shared" si="12"/>
        <v>1546155</v>
      </c>
      <c r="G95" s="65">
        <f t="shared" si="12"/>
        <v>-1977175</v>
      </c>
      <c r="H95" s="65">
        <f t="shared" si="12"/>
        <v>-2676975</v>
      </c>
      <c r="I95" s="65">
        <f t="shared" si="12"/>
        <v>-3285175</v>
      </c>
      <c r="J95" s="66">
        <f t="shared" si="12"/>
        <v>-3860875</v>
      </c>
    </row>
    <row r="96" ht="20.1" customHeight="1">
      <c r="A96" s="64" t="s">
        <v>270</v>
      </c>
    </row>
    <row r="97" spans="1:3" ht="20.1" customHeight="1">
      <c r="A97" s="42" t="s">
        <v>322</v>
      </c>
      <c r="B97" s="43"/>
      <c r="C97" s="43"/>
    </row>
    <row r="98" spans="2:3" ht="20.1" customHeight="1">
      <c r="B98" s="45"/>
      <c r="C98" s="45"/>
    </row>
    <row r="99" ht="20.1" customHeight="1">
      <c r="A99" s="44"/>
    </row>
    <row r="100" ht="20.1" customHeight="1">
      <c r="A100" s="44"/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zoomScale="70" zoomScaleNormal="70" workbookViewId="0" topLeftCell="A1">
      <selection activeCell="A47" sqref="A47:XFD47"/>
    </sheetView>
  </sheetViews>
  <sheetFormatPr defaultColWidth="9.00390625" defaultRowHeight="15.75"/>
  <cols>
    <col min="1" max="1" width="42.625" style="22" customWidth="1"/>
    <col min="2" max="5" width="20.625" style="22" hidden="1" customWidth="1"/>
    <col min="6" max="6" width="13.125" style="22" bestFit="1" customWidth="1"/>
    <col min="7" max="10" width="14.00390625" style="23" bestFit="1" customWidth="1"/>
    <col min="11" max="16384" width="9.00390625" style="22" customWidth="1"/>
  </cols>
  <sheetData>
    <row r="1" spans="1:10" ht="36">
      <c r="A1" s="168" t="s">
        <v>385</v>
      </c>
      <c r="B1" s="168" t="s">
        <v>219</v>
      </c>
      <c r="C1" s="168" t="s">
        <v>220</v>
      </c>
      <c r="D1" s="168" t="s">
        <v>271</v>
      </c>
      <c r="E1" s="169" t="s">
        <v>272</v>
      </c>
      <c r="F1" s="169"/>
      <c r="G1" s="169"/>
      <c r="H1" s="169"/>
      <c r="I1" s="169"/>
      <c r="J1" s="169"/>
    </row>
    <row r="2" spans="1:10" ht="15.75">
      <c r="A2" s="206" t="s">
        <v>0</v>
      </c>
      <c r="B2" s="183"/>
      <c r="C2" s="183"/>
      <c r="D2" s="183"/>
      <c r="E2" s="184"/>
      <c r="F2" s="185">
        <v>2019</v>
      </c>
      <c r="G2" s="185">
        <v>2020</v>
      </c>
      <c r="H2" s="185">
        <v>2021</v>
      </c>
      <c r="I2" s="185">
        <v>2022</v>
      </c>
      <c r="J2" s="186">
        <v>2023</v>
      </c>
    </row>
    <row r="3" spans="1:10" ht="20.25">
      <c r="A3" s="187" t="s">
        <v>221</v>
      </c>
      <c r="B3" s="173">
        <v>0</v>
      </c>
      <c r="C3" s="173">
        <v>0</v>
      </c>
      <c r="D3" s="173">
        <v>0</v>
      </c>
      <c r="E3" s="173">
        <f>D3</f>
        <v>0</v>
      </c>
      <c r="F3" s="207">
        <v>0</v>
      </c>
      <c r="G3" s="207">
        <f>F50</f>
        <v>1546155</v>
      </c>
      <c r="H3" s="207">
        <f>G50</f>
        <v>-1977175</v>
      </c>
      <c r="I3" s="207">
        <f>H50</f>
        <v>-2676975</v>
      </c>
      <c r="J3" s="208">
        <f>I50</f>
        <v>-3285175</v>
      </c>
    </row>
    <row r="4" spans="1:10" ht="15.75" hidden="1">
      <c r="A4" s="73"/>
      <c r="B4" s="173"/>
      <c r="C4" s="173"/>
      <c r="D4" s="173"/>
      <c r="E4" s="173"/>
      <c r="F4" s="173"/>
      <c r="G4" s="173"/>
      <c r="H4" s="173"/>
      <c r="I4" s="173"/>
      <c r="J4" s="188"/>
    </row>
    <row r="5" spans="1:10" ht="15.75">
      <c r="A5" s="72" t="s">
        <v>3</v>
      </c>
      <c r="B5" s="170"/>
      <c r="C5" s="170"/>
      <c r="D5" s="171"/>
      <c r="E5" s="171"/>
      <c r="F5" s="171"/>
      <c r="G5" s="171"/>
      <c r="H5" s="171"/>
      <c r="I5" s="171"/>
      <c r="J5" s="189"/>
    </row>
    <row r="6" spans="1:10" ht="15.75" hidden="1">
      <c r="A6" s="73" t="s">
        <v>223</v>
      </c>
      <c r="B6" s="174">
        <v>0</v>
      </c>
      <c r="C6" s="174">
        <v>0</v>
      </c>
      <c r="D6" s="174">
        <v>0</v>
      </c>
      <c r="E6" s="174">
        <v>0</v>
      </c>
      <c r="F6" s="174">
        <v>0</v>
      </c>
      <c r="G6" s="174">
        <v>0</v>
      </c>
      <c r="H6" s="174">
        <v>0</v>
      </c>
      <c r="I6" s="174">
        <v>0</v>
      </c>
      <c r="J6" s="190">
        <v>0</v>
      </c>
    </row>
    <row r="7" spans="1:10" ht="15.75">
      <c r="A7" s="73" t="s">
        <v>224</v>
      </c>
      <c r="B7" s="104">
        <v>0</v>
      </c>
      <c r="C7" s="104">
        <v>0</v>
      </c>
      <c r="D7" s="104">
        <v>0</v>
      </c>
      <c r="E7" s="104">
        <v>0</v>
      </c>
      <c r="F7" s="104"/>
      <c r="G7" s="104"/>
      <c r="H7" s="104"/>
      <c r="I7" s="104"/>
      <c r="J7" s="109"/>
    </row>
    <row r="8" spans="1:10" ht="15.75">
      <c r="A8" s="191" t="s">
        <v>225</v>
      </c>
      <c r="B8" s="175">
        <v>0</v>
      </c>
      <c r="C8" s="175">
        <v>0</v>
      </c>
      <c r="D8" s="175">
        <v>0</v>
      </c>
      <c r="E8" s="175">
        <f>(D8/12)*7</f>
        <v>0</v>
      </c>
      <c r="F8" s="175">
        <f>'Facilities Maintenance'!F9</f>
        <v>852100</v>
      </c>
      <c r="G8" s="175">
        <f>'Facilities Maintenance'!G9</f>
        <v>906500</v>
      </c>
      <c r="H8" s="175">
        <f>'Facilities Maintenance'!H9</f>
        <v>933700</v>
      </c>
      <c r="I8" s="175">
        <f>'Facilities Maintenance'!I9</f>
        <v>961700</v>
      </c>
      <c r="J8" s="192">
        <f>'Facilities Maintenance'!J9</f>
        <v>990600</v>
      </c>
    </row>
    <row r="9" spans="1:10" ht="15.75">
      <c r="A9" s="191" t="s">
        <v>226</v>
      </c>
      <c r="B9" s="175">
        <v>0</v>
      </c>
      <c r="C9" s="175">
        <v>0</v>
      </c>
      <c r="D9" s="175">
        <v>0</v>
      </c>
      <c r="E9" s="175">
        <f>(D9/12)*7</f>
        <v>0</v>
      </c>
      <c r="F9" s="175">
        <v>75000</v>
      </c>
      <c r="G9" s="175">
        <v>75000</v>
      </c>
      <c r="H9" s="175">
        <v>80000</v>
      </c>
      <c r="I9" s="175">
        <v>80000</v>
      </c>
      <c r="J9" s="192">
        <v>85000</v>
      </c>
    </row>
    <row r="10" spans="1:10" ht="15.75">
      <c r="A10" s="73" t="s">
        <v>228</v>
      </c>
      <c r="B10" s="175">
        <v>0</v>
      </c>
      <c r="C10" s="175">
        <v>0</v>
      </c>
      <c r="D10" s="175">
        <v>0</v>
      </c>
      <c r="E10" s="175">
        <v>0</v>
      </c>
      <c r="F10" s="175">
        <v>2500</v>
      </c>
      <c r="G10" s="175">
        <v>2500</v>
      </c>
      <c r="H10" s="175">
        <v>2500</v>
      </c>
      <c r="I10" s="175">
        <v>2500</v>
      </c>
      <c r="J10" s="192">
        <v>2500</v>
      </c>
    </row>
    <row r="11" spans="1:10" ht="15.75">
      <c r="A11" s="73" t="s">
        <v>229</v>
      </c>
      <c r="B11" s="175">
        <v>0</v>
      </c>
      <c r="C11" s="175">
        <v>0</v>
      </c>
      <c r="D11" s="175">
        <v>0</v>
      </c>
      <c r="E11" s="175">
        <v>0</v>
      </c>
      <c r="F11" s="175">
        <v>250000</v>
      </c>
      <c r="G11" s="175"/>
      <c r="H11" s="175"/>
      <c r="I11" s="175"/>
      <c r="J11" s="192"/>
    </row>
    <row r="12" spans="1:10" ht="15.75">
      <c r="A12" s="73" t="s">
        <v>315</v>
      </c>
      <c r="B12" s="175"/>
      <c r="C12" s="175"/>
      <c r="D12" s="104"/>
      <c r="E12" s="104"/>
      <c r="F12" s="104">
        <v>3900000</v>
      </c>
      <c r="G12" s="104"/>
      <c r="H12" s="104"/>
      <c r="I12" s="104"/>
      <c r="J12" s="109"/>
    </row>
    <row r="13" spans="1:10" ht="15.75">
      <c r="A13" s="73" t="s">
        <v>312</v>
      </c>
      <c r="B13" s="175"/>
      <c r="C13" s="175"/>
      <c r="D13" s="104"/>
      <c r="E13" s="104"/>
      <c r="F13" s="104">
        <v>4200000</v>
      </c>
      <c r="G13" s="104"/>
      <c r="H13" s="104"/>
      <c r="I13" s="104"/>
      <c r="J13" s="109"/>
    </row>
    <row r="14" spans="1:10" ht="20.25">
      <c r="A14" s="193" t="s">
        <v>4</v>
      </c>
      <c r="B14" s="176"/>
      <c r="C14" s="176">
        <f aca="true" t="shared" si="0" ref="C14:J14">SUM(C6:C13)</f>
        <v>0</v>
      </c>
      <c r="D14" s="176">
        <f t="shared" si="0"/>
        <v>0</v>
      </c>
      <c r="E14" s="176">
        <f t="shared" si="0"/>
        <v>0</v>
      </c>
      <c r="F14" s="181">
        <f t="shared" si="0"/>
        <v>9279600</v>
      </c>
      <c r="G14" s="181">
        <f t="shared" si="0"/>
        <v>984000</v>
      </c>
      <c r="H14" s="181">
        <f t="shared" si="0"/>
        <v>1016200</v>
      </c>
      <c r="I14" s="181">
        <f t="shared" si="0"/>
        <v>1044200</v>
      </c>
      <c r="J14" s="194">
        <f t="shared" si="0"/>
        <v>1078100</v>
      </c>
    </row>
    <row r="15" spans="1:10" ht="15.75">
      <c r="A15" s="193" t="s">
        <v>490</v>
      </c>
      <c r="B15" s="172"/>
      <c r="C15" s="172"/>
      <c r="D15" s="172"/>
      <c r="E15" s="172"/>
      <c r="F15" s="175">
        <v>1643100</v>
      </c>
      <c r="G15" s="175">
        <v>1629000</v>
      </c>
      <c r="H15" s="175">
        <v>1600800</v>
      </c>
      <c r="I15" s="175">
        <v>1570400</v>
      </c>
      <c r="J15" s="192">
        <v>1593900</v>
      </c>
    </row>
    <row r="16" spans="1:10" ht="15.75">
      <c r="A16" s="72" t="s">
        <v>176</v>
      </c>
      <c r="B16" s="104"/>
      <c r="C16" s="104"/>
      <c r="D16" s="175"/>
      <c r="E16" s="175"/>
      <c r="F16" s="175"/>
      <c r="G16" s="175"/>
      <c r="H16" s="175"/>
      <c r="I16" s="175"/>
      <c r="J16" s="192"/>
    </row>
    <row r="17" spans="1:10" ht="15.75">
      <c r="A17" s="196" t="s">
        <v>388</v>
      </c>
      <c r="B17" s="104">
        <v>0</v>
      </c>
      <c r="C17" s="104">
        <v>0</v>
      </c>
      <c r="D17" s="175">
        <v>0</v>
      </c>
      <c r="E17" s="175">
        <v>0</v>
      </c>
      <c r="F17" s="175"/>
      <c r="G17" s="175"/>
      <c r="H17" s="175"/>
      <c r="I17" s="175"/>
      <c r="J17" s="192"/>
    </row>
    <row r="18" spans="1:10" ht="15.75">
      <c r="A18" s="197" t="str">
        <f>"      - Lavatory Improvements"</f>
        <v xml:space="preserve">      - Lavatory Improvements</v>
      </c>
      <c r="B18" s="104"/>
      <c r="C18" s="104"/>
      <c r="D18" s="175"/>
      <c r="E18" s="175"/>
      <c r="F18" s="175">
        <f>4300+19500+5650</f>
        <v>29450</v>
      </c>
      <c r="G18" s="175"/>
      <c r="H18" s="175"/>
      <c r="I18" s="175"/>
      <c r="J18" s="192"/>
    </row>
    <row r="19" spans="1:10" ht="15.75" hidden="1">
      <c r="A19" s="197" t="str">
        <f>"      - Water Fountain/Bottle Filler"</f>
        <v xml:space="preserve">      - Water Fountain/Bottle Filler</v>
      </c>
      <c r="B19" s="104"/>
      <c r="C19" s="104"/>
      <c r="D19" s="175"/>
      <c r="E19" s="175"/>
      <c r="F19" s="175"/>
      <c r="G19" s="175"/>
      <c r="H19" s="175"/>
      <c r="I19" s="175"/>
      <c r="J19" s="192"/>
    </row>
    <row r="20" spans="1:10" ht="15.75" hidden="1">
      <c r="A20" s="197" t="str">
        <f>"      - Sink/Wash Station"</f>
        <v xml:space="preserve">      - Sink/Wash Station</v>
      </c>
      <c r="B20" s="104"/>
      <c r="C20" s="104"/>
      <c r="D20" s="175"/>
      <c r="E20" s="175"/>
      <c r="F20" s="175"/>
      <c r="G20" s="175"/>
      <c r="H20" s="175"/>
      <c r="I20" s="175"/>
      <c r="J20" s="192"/>
    </row>
    <row r="21" spans="1:10" ht="15.75" hidden="1">
      <c r="A21" s="197" t="str">
        <f>"      - Air Hand Dryers"</f>
        <v xml:space="preserve">      - Air Hand Dryers</v>
      </c>
      <c r="B21" s="104"/>
      <c r="C21" s="104"/>
      <c r="D21" s="175"/>
      <c r="E21" s="175"/>
      <c r="F21" s="175"/>
      <c r="G21" s="175"/>
      <c r="H21" s="175"/>
      <c r="I21" s="175"/>
      <c r="J21" s="192"/>
    </row>
    <row r="22" spans="1:10" ht="15.75">
      <c r="A22" s="197" t="str">
        <f>"      - Office Buildout"</f>
        <v xml:space="preserve">      - Office Buildout</v>
      </c>
      <c r="B22" s="104"/>
      <c r="C22" s="104"/>
      <c r="D22" s="175"/>
      <c r="E22" s="175"/>
      <c r="F22" s="175">
        <f>9100+30000+20000</f>
        <v>59100</v>
      </c>
      <c r="G22" s="175"/>
      <c r="H22" s="175"/>
      <c r="I22" s="175"/>
      <c r="J22" s="192"/>
    </row>
    <row r="23" spans="1:10" ht="15.75" hidden="1">
      <c r="A23" s="197" t="str">
        <f>"      - Light Fixtures/LED"</f>
        <v xml:space="preserve">      - Light Fixtures/LED</v>
      </c>
      <c r="B23" s="104"/>
      <c r="C23" s="104"/>
      <c r="D23" s="175"/>
      <c r="E23" s="175"/>
      <c r="F23" s="175"/>
      <c r="G23" s="175"/>
      <c r="H23" s="175"/>
      <c r="I23" s="175"/>
      <c r="J23" s="192"/>
    </row>
    <row r="24" spans="1:10" ht="15.75">
      <c r="A24" s="197" t="str">
        <f>"      - Bird Netting"</f>
        <v xml:space="preserve">      - Bird Netting</v>
      </c>
      <c r="B24" s="104"/>
      <c r="C24" s="104"/>
      <c r="D24" s="175"/>
      <c r="E24" s="175"/>
      <c r="F24" s="175">
        <v>12000</v>
      </c>
      <c r="G24" s="175"/>
      <c r="H24" s="175"/>
      <c r="I24" s="175"/>
      <c r="J24" s="192"/>
    </row>
    <row r="25" spans="1:10" ht="15.75" hidden="1">
      <c r="A25" s="197" t="str">
        <f>"      - Office/Cube Space"</f>
        <v xml:space="preserve">      - Office/Cube Space</v>
      </c>
      <c r="B25" s="104"/>
      <c r="C25" s="104"/>
      <c r="D25" s="175"/>
      <c r="E25" s="175"/>
      <c r="F25" s="175"/>
      <c r="G25" s="175"/>
      <c r="H25" s="175"/>
      <c r="I25" s="175"/>
      <c r="J25" s="192"/>
    </row>
    <row r="26" spans="1:10" ht="15.75" hidden="1">
      <c r="A26" s="197" t="str">
        <f>"      - Security System Software"</f>
        <v xml:space="preserve">      - Security System Software</v>
      </c>
      <c r="B26" s="104"/>
      <c r="C26" s="104"/>
      <c r="D26" s="175"/>
      <c r="E26" s="175"/>
      <c r="F26" s="175"/>
      <c r="G26" s="175"/>
      <c r="H26" s="175"/>
      <c r="I26" s="175"/>
      <c r="J26" s="192"/>
    </row>
    <row r="27" spans="1:10" ht="15.75">
      <c r="A27" s="197" t="str">
        <f>"      - Car Wash System"</f>
        <v xml:space="preserve">      - Car Wash System</v>
      </c>
      <c r="B27" s="104"/>
      <c r="C27" s="104"/>
      <c r="D27" s="175"/>
      <c r="E27" s="175"/>
      <c r="F27" s="175">
        <v>77300</v>
      </c>
      <c r="G27" s="175"/>
      <c r="H27" s="175"/>
      <c r="I27" s="175"/>
      <c r="J27" s="192"/>
    </row>
    <row r="28" spans="1:10" ht="15.75">
      <c r="A28" s="197" t="str">
        <f>"      - Roof Replacement/Repair"</f>
        <v xml:space="preserve">      - Roof Replacement/Repair</v>
      </c>
      <c r="B28" s="104"/>
      <c r="C28" s="104"/>
      <c r="D28" s="175"/>
      <c r="E28" s="175"/>
      <c r="F28" s="175"/>
      <c r="G28" s="175">
        <v>430000</v>
      </c>
      <c r="H28" s="175"/>
      <c r="I28" s="175"/>
      <c r="J28" s="192"/>
    </row>
    <row r="29" spans="1:10" ht="15.75">
      <c r="A29" s="197" t="str">
        <f>"      - A/C Unit for Computer Room"</f>
        <v xml:space="preserve">      - A/C Unit for Computer Room</v>
      </c>
      <c r="B29" s="104"/>
      <c r="C29" s="104"/>
      <c r="D29" s="175"/>
      <c r="E29" s="175"/>
      <c r="F29" s="175"/>
      <c r="G29" s="175"/>
      <c r="H29" s="175">
        <v>47000</v>
      </c>
      <c r="I29" s="175"/>
      <c r="J29" s="192"/>
    </row>
    <row r="30" spans="1:10" ht="15.75">
      <c r="A30" s="198" t="s">
        <v>387</v>
      </c>
      <c r="B30" s="104">
        <v>10000</v>
      </c>
      <c r="C30" s="104">
        <v>167110</v>
      </c>
      <c r="D30" s="175">
        <v>308000</v>
      </c>
      <c r="E30" s="175">
        <v>335000</v>
      </c>
      <c r="F30" s="175"/>
      <c r="G30" s="175"/>
      <c r="H30" s="175"/>
      <c r="I30" s="175"/>
      <c r="J30" s="192"/>
    </row>
    <row r="31" spans="1:10" ht="15.75">
      <c r="A31" s="197" t="s">
        <v>386</v>
      </c>
      <c r="B31" s="104"/>
      <c r="C31" s="104"/>
      <c r="D31" s="175"/>
      <c r="E31" s="175"/>
      <c r="F31" s="175">
        <f>15000+22000+18875</f>
        <v>55875</v>
      </c>
      <c r="G31" s="175">
        <f>13500+26400</f>
        <v>39900</v>
      </c>
      <c r="H31" s="175">
        <f>41000+27200</f>
        <v>68200</v>
      </c>
      <c r="I31" s="175">
        <f>28000+54000</f>
        <v>82000</v>
      </c>
      <c r="J31" s="192">
        <f>31300+28600</f>
        <v>59900</v>
      </c>
    </row>
    <row r="32" spans="1:10" ht="15.75" hidden="1">
      <c r="A32" s="197" t="str">
        <f>"      - Carpet Replacement"</f>
        <v xml:space="preserve">      - Carpet Replacement</v>
      </c>
      <c r="B32" s="104"/>
      <c r="C32" s="104"/>
      <c r="D32" s="175"/>
      <c r="E32" s="175"/>
      <c r="F32" s="175"/>
      <c r="G32" s="175"/>
      <c r="H32" s="175"/>
      <c r="I32" s="175"/>
      <c r="J32" s="192"/>
    </row>
    <row r="33" spans="1:10" ht="15.75" hidden="1">
      <c r="A33" s="197" t="str">
        <f>"      - Seal/Patch flooring repairs - Unheated Garage"</f>
        <v xml:space="preserve">      - Seal/Patch flooring repairs - Unheated Garage</v>
      </c>
      <c r="B33" s="104"/>
      <c r="C33" s="104"/>
      <c r="D33" s="175"/>
      <c r="E33" s="175"/>
      <c r="F33" s="175"/>
      <c r="G33" s="175"/>
      <c r="H33" s="175"/>
      <c r="I33" s="175"/>
      <c r="J33" s="192"/>
    </row>
    <row r="34" spans="1:10" ht="15.75" hidden="1">
      <c r="A34" s="197" t="str">
        <f>"      - VAV Controllers"</f>
        <v xml:space="preserve">      - VAV Controllers</v>
      </c>
      <c r="B34" s="104"/>
      <c r="C34" s="104"/>
      <c r="D34" s="175"/>
      <c r="E34" s="175"/>
      <c r="F34" s="175"/>
      <c r="G34" s="175"/>
      <c r="H34" s="175"/>
      <c r="I34" s="175"/>
      <c r="J34" s="192"/>
    </row>
    <row r="35" spans="1:10" ht="15.75">
      <c r="A35" s="197" t="str">
        <f>"      - Parking Lot Replacement"</f>
        <v xml:space="preserve">      - Parking Lot Replacement</v>
      </c>
      <c r="B35" s="104"/>
      <c r="C35" s="104"/>
      <c r="D35" s="175"/>
      <c r="E35" s="175"/>
      <c r="F35" s="175"/>
      <c r="G35" s="175"/>
      <c r="H35" s="175"/>
      <c r="I35" s="175"/>
      <c r="J35" s="192"/>
    </row>
    <row r="36" spans="1:10" ht="15.75" hidden="1">
      <c r="A36" s="197" t="str">
        <f>"            - South Parking Lot"</f>
        <v xml:space="preserve">            - South Parking Lot</v>
      </c>
      <c r="B36" s="104"/>
      <c r="C36" s="104"/>
      <c r="D36" s="175"/>
      <c r="E36" s="175"/>
      <c r="F36" s="175"/>
      <c r="G36" s="175"/>
      <c r="H36" s="175"/>
      <c r="I36" s="175"/>
      <c r="J36" s="192"/>
    </row>
    <row r="37" spans="1:10" ht="15.75">
      <c r="A37" s="197" t="str">
        <f>"            - South Parking Lot"</f>
        <v xml:space="preserve">            - South Parking Lot</v>
      </c>
      <c r="B37" s="104"/>
      <c r="C37" s="104"/>
      <c r="D37" s="175"/>
      <c r="E37" s="175"/>
      <c r="F37" s="175"/>
      <c r="G37" s="175">
        <v>100800</v>
      </c>
      <c r="H37" s="175"/>
      <c r="I37" s="175"/>
      <c r="J37" s="192"/>
    </row>
    <row r="38" spans="1:10" ht="15.75">
      <c r="A38" s="197" t="str">
        <f>"            - Police Parking Lot"</f>
        <v xml:space="preserve">            - Police Parking Lot</v>
      </c>
      <c r="B38" s="104"/>
      <c r="C38" s="104"/>
      <c r="D38" s="175"/>
      <c r="E38" s="175"/>
      <c r="F38" s="175"/>
      <c r="G38" s="175">
        <v>31800</v>
      </c>
      <c r="H38" s="175"/>
      <c r="I38" s="175"/>
      <c r="J38" s="192"/>
    </row>
    <row r="39" spans="1:10" ht="15.75">
      <c r="A39" s="197" t="str">
        <f>"            - Fire Parking Lot"</f>
        <v xml:space="preserve">            - Fire Parking Lot</v>
      </c>
      <c r="B39" s="104"/>
      <c r="C39" s="104"/>
      <c r="D39" s="175"/>
      <c r="E39" s="175"/>
      <c r="F39" s="175"/>
      <c r="G39" s="175">
        <v>31800</v>
      </c>
      <c r="H39" s="175"/>
      <c r="I39" s="175"/>
      <c r="J39" s="192"/>
    </row>
    <row r="40" spans="1:10" ht="15.75" hidden="1">
      <c r="A40" s="197" t="str">
        <f>"      - Atrium &amp; Exterior Painting"</f>
        <v xml:space="preserve">      - Atrium &amp; Exterior Painting</v>
      </c>
      <c r="B40" s="104"/>
      <c r="C40" s="104"/>
      <c r="D40" s="175"/>
      <c r="E40" s="175"/>
      <c r="F40" s="175"/>
      <c r="G40" s="175"/>
      <c r="H40" s="175"/>
      <c r="I40" s="175"/>
      <c r="J40" s="192"/>
    </row>
    <row r="41" spans="1:10" ht="15.75" hidden="1">
      <c r="A41" s="197" t="str">
        <f>"      - Exhaust Fan Replacements"</f>
        <v xml:space="preserve">      - Exhaust Fan Replacements</v>
      </c>
      <c r="B41" s="104"/>
      <c r="C41" s="104"/>
      <c r="D41" s="175"/>
      <c r="E41" s="175"/>
      <c r="F41" s="175"/>
      <c r="G41" s="175"/>
      <c r="H41" s="175"/>
      <c r="I41" s="175"/>
      <c r="J41" s="192"/>
    </row>
    <row r="42" spans="1:10" ht="15.75" hidden="1">
      <c r="A42" s="199"/>
      <c r="B42" s="104"/>
      <c r="C42" s="104"/>
      <c r="D42" s="175"/>
      <c r="E42" s="175"/>
      <c r="F42" s="175"/>
      <c r="G42" s="175"/>
      <c r="H42" s="175"/>
      <c r="I42" s="175"/>
      <c r="J42" s="192"/>
    </row>
    <row r="43" spans="1:10" ht="15.75">
      <c r="A43" s="196" t="s">
        <v>389</v>
      </c>
      <c r="B43" s="104"/>
      <c r="C43" s="104"/>
      <c r="D43" s="175"/>
      <c r="E43" s="175"/>
      <c r="F43" s="175">
        <v>1956620</v>
      </c>
      <c r="G43" s="175">
        <v>2243380</v>
      </c>
      <c r="H43" s="175"/>
      <c r="I43" s="175"/>
      <c r="J43" s="192"/>
    </row>
    <row r="44" spans="1:10" ht="15.75">
      <c r="A44" s="196" t="s">
        <v>390</v>
      </c>
      <c r="B44" s="104"/>
      <c r="C44" s="104"/>
      <c r="D44" s="175"/>
      <c r="E44" s="175"/>
      <c r="F44" s="175">
        <v>3900000</v>
      </c>
      <c r="G44" s="175"/>
      <c r="H44" s="175"/>
      <c r="I44" s="175"/>
      <c r="J44" s="192"/>
    </row>
    <row r="45" spans="1:10" ht="15.75">
      <c r="A45" s="197" t="s">
        <v>588</v>
      </c>
      <c r="B45" s="104"/>
      <c r="C45" s="104"/>
      <c r="D45" s="175"/>
      <c r="E45" s="175"/>
      <c r="F45" s="175"/>
      <c r="G45" s="175">
        <v>650</v>
      </c>
      <c r="H45" s="175"/>
      <c r="I45" s="175"/>
      <c r="J45" s="192"/>
    </row>
    <row r="46" spans="1:10" ht="20.25">
      <c r="A46" s="200" t="s">
        <v>384</v>
      </c>
      <c r="B46" s="176" t="e">
        <f>#REF!+#REF!+#REF!+#REF!+#REF!</f>
        <v>#REF!</v>
      </c>
      <c r="C46" s="176" t="e">
        <f>#REF!+#REF!+#REF!+#REF!+#REF!</f>
        <v>#REF!</v>
      </c>
      <c r="D46" s="176" t="e">
        <f>+#REF!+#REF!+#REF!+#REF!+#REF!</f>
        <v>#REF!</v>
      </c>
      <c r="E46" s="176" t="e">
        <f>+#REF!+#REF!+#REF!+#REF!+#REF!</f>
        <v>#REF!</v>
      </c>
      <c r="F46" s="181">
        <f>SUM(F15:F45)</f>
        <v>7733445</v>
      </c>
      <c r="G46" s="181">
        <f>SUM(G15:G45)</f>
        <v>4507330</v>
      </c>
      <c r="H46" s="181">
        <f>SUM(H15:H45)</f>
        <v>1716000</v>
      </c>
      <c r="I46" s="181">
        <f>SUM(I15:I45)</f>
        <v>1652400</v>
      </c>
      <c r="J46" s="194">
        <f>SUM(J15:J45)</f>
        <v>1653800</v>
      </c>
    </row>
    <row r="47" spans="1:10" ht="15.75">
      <c r="A47" s="200"/>
      <c r="B47" s="176"/>
      <c r="C47" s="176"/>
      <c r="D47" s="176"/>
      <c r="E47" s="176"/>
      <c r="F47" s="176"/>
      <c r="G47" s="176"/>
      <c r="H47" s="176"/>
      <c r="I47" s="176"/>
      <c r="J47" s="201"/>
    </row>
    <row r="48" spans="1:10" ht="15.75">
      <c r="A48" s="193" t="s">
        <v>269</v>
      </c>
      <c r="B48" s="172"/>
      <c r="C48" s="172"/>
      <c r="D48" s="172"/>
      <c r="E48" s="172"/>
      <c r="F48" s="180">
        <f>+F14-F46</f>
        <v>1546155</v>
      </c>
      <c r="G48" s="180">
        <f>+G14-G46</f>
        <v>-3523330</v>
      </c>
      <c r="H48" s="180">
        <f>+H14-H46</f>
        <v>-699800</v>
      </c>
      <c r="I48" s="180">
        <f>+I14-I46</f>
        <v>-608200</v>
      </c>
      <c r="J48" s="209">
        <f>+J14-J46</f>
        <v>-575700</v>
      </c>
    </row>
    <row r="49" spans="1:10" ht="15.75">
      <c r="A49" s="73"/>
      <c r="B49" s="176" t="e">
        <f>+B14-B46</f>
        <v>#REF!</v>
      </c>
      <c r="C49" s="176" t="e">
        <f>+C14-C46</f>
        <v>#REF!</v>
      </c>
      <c r="D49" s="176" t="e">
        <f>+D14-D46</f>
        <v>#REF!</v>
      </c>
      <c r="E49" s="176" t="e">
        <f>+E14-E46</f>
        <v>#REF!</v>
      </c>
      <c r="F49" s="172"/>
      <c r="G49" s="172"/>
      <c r="H49" s="172"/>
      <c r="I49" s="172"/>
      <c r="J49" s="195"/>
    </row>
    <row r="50" spans="1:10" ht="20.25">
      <c r="A50" s="156" t="s">
        <v>270</v>
      </c>
      <c r="B50" s="172"/>
      <c r="C50" s="172"/>
      <c r="D50" s="172"/>
      <c r="E50" s="172"/>
      <c r="F50" s="182">
        <f>+F3+F48</f>
        <v>1546155</v>
      </c>
      <c r="G50" s="182">
        <f>+G3+G48</f>
        <v>-1977175</v>
      </c>
      <c r="H50" s="182">
        <f>+H3+H48</f>
        <v>-2676975</v>
      </c>
      <c r="I50" s="182">
        <f>+I3+I48</f>
        <v>-3285175</v>
      </c>
      <c r="J50" s="202">
        <f>+J3+J48</f>
        <v>-3860875</v>
      </c>
    </row>
    <row r="51" spans="1:10" ht="15.75">
      <c r="A51" s="203" t="s">
        <v>322</v>
      </c>
      <c r="B51" s="204"/>
      <c r="C51" s="204"/>
      <c r="D51" s="204"/>
      <c r="E51" s="204"/>
      <c r="F51" s="24"/>
      <c r="G51" s="24"/>
      <c r="H51" s="24"/>
      <c r="I51" s="24"/>
      <c r="J51" s="205"/>
    </row>
    <row r="53" spans="1:3" ht="15.75">
      <c r="A53" s="178"/>
      <c r="B53" s="177"/>
      <c r="C53" s="177"/>
    </row>
    <row r="54" spans="1:3" ht="15.75">
      <c r="A54" s="178"/>
      <c r="B54" s="179"/>
      <c r="C54" s="179"/>
    </row>
  </sheetData>
  <printOptions/>
  <pageMargins left="0.25" right="0" top="1" bottom="0" header="0" footer="0"/>
  <pageSetup fitToHeight="0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8"/>
  <sheetViews>
    <sheetView zoomScale="90" zoomScaleNormal="90" workbookViewId="0" topLeftCell="A45">
      <selection activeCell="C68" sqref="C68"/>
    </sheetView>
  </sheetViews>
  <sheetFormatPr defaultColWidth="9.00390625" defaultRowHeight="15.75"/>
  <cols>
    <col min="1" max="1" width="45.125" style="22" customWidth="1"/>
    <col min="2" max="3" width="12.375" style="22" customWidth="1"/>
    <col min="4" max="4" width="12.375" style="29" customWidth="1"/>
    <col min="5" max="5" width="13.00390625" style="22" customWidth="1"/>
    <col min="6" max="8" width="13.375" style="22" customWidth="1"/>
    <col min="9" max="10" width="13.375" style="22" bestFit="1" customWidth="1"/>
    <col min="11" max="16384" width="9.00390625" style="22" customWidth="1"/>
  </cols>
  <sheetData>
    <row r="1" spans="1:4" ht="15.75">
      <c r="A1" s="25" t="s">
        <v>114</v>
      </c>
      <c r="D1" s="22"/>
    </row>
    <row r="2" ht="15.75">
      <c r="D2" s="22"/>
    </row>
    <row r="3" spans="2:10" ht="15.75">
      <c r="B3" s="328" t="s">
        <v>210</v>
      </c>
      <c r="C3" s="328" t="s">
        <v>211</v>
      </c>
      <c r="D3" s="328" t="s">
        <v>210</v>
      </c>
      <c r="E3" s="328" t="s">
        <v>210</v>
      </c>
      <c r="F3" s="328" t="s">
        <v>211</v>
      </c>
      <c r="G3" s="328" t="s">
        <v>211</v>
      </c>
      <c r="H3" s="328" t="s">
        <v>211</v>
      </c>
      <c r="I3" s="328" t="s">
        <v>211</v>
      </c>
      <c r="J3" s="328" t="s">
        <v>211</v>
      </c>
    </row>
    <row r="4" spans="1:10" s="26" customFormat="1" ht="15.75">
      <c r="A4" s="149" t="s">
        <v>0</v>
      </c>
      <c r="B4" s="154">
        <v>2017</v>
      </c>
      <c r="C4" s="154">
        <v>2018</v>
      </c>
      <c r="D4" s="154">
        <v>2018</v>
      </c>
      <c r="E4" s="154">
        <v>2019</v>
      </c>
      <c r="F4" s="154">
        <f>C4+1</f>
        <v>2019</v>
      </c>
      <c r="G4" s="154">
        <f>F4+1</f>
        <v>2020</v>
      </c>
      <c r="H4" s="154">
        <f>G4+1</f>
        <v>2021</v>
      </c>
      <c r="I4" s="154">
        <f>H4+1</f>
        <v>2022</v>
      </c>
      <c r="J4" s="155">
        <f>I4+1</f>
        <v>2023</v>
      </c>
    </row>
    <row r="5" spans="1:10" ht="20.25">
      <c r="A5" s="156" t="s">
        <v>19</v>
      </c>
      <c r="B5" s="157">
        <v>250607</v>
      </c>
      <c r="C5" s="157">
        <v>202967</v>
      </c>
      <c r="D5" s="157">
        <v>202967</v>
      </c>
      <c r="E5" s="157">
        <f aca="true" t="shared" si="0" ref="E5:J5">D218</f>
        <v>423443.1200000006</v>
      </c>
      <c r="F5" s="163">
        <f>D218</f>
        <v>423443.1200000006</v>
      </c>
      <c r="G5" s="163">
        <f t="shared" si="0"/>
        <v>195883.12000000058</v>
      </c>
      <c r="H5" s="163">
        <f t="shared" si="0"/>
        <v>358433.1200000006</v>
      </c>
      <c r="I5" s="163">
        <f t="shared" si="0"/>
        <v>476283.1200000006</v>
      </c>
      <c r="J5" s="164">
        <f t="shared" si="0"/>
        <v>370533.1200000006</v>
      </c>
    </row>
    <row r="6" spans="1:13" ht="15.75">
      <c r="A6" s="134" t="s">
        <v>3</v>
      </c>
      <c r="B6" s="138"/>
      <c r="C6" s="138"/>
      <c r="D6" s="138"/>
      <c r="E6" s="138"/>
      <c r="F6" s="138"/>
      <c r="G6" s="138"/>
      <c r="H6" s="138"/>
      <c r="I6" s="138"/>
      <c r="J6" s="139"/>
      <c r="K6" s="28"/>
      <c r="L6" s="28"/>
      <c r="M6" s="28"/>
    </row>
    <row r="7" spans="1:13" ht="15.75">
      <c r="A7" s="140" t="s">
        <v>9</v>
      </c>
      <c r="B7" s="138">
        <v>7.01</v>
      </c>
      <c r="C7" s="138">
        <f>ROUND(C5*0.5*0.015,-1)</f>
        <v>1520</v>
      </c>
      <c r="D7" s="138">
        <f>-1335.78-564.18</f>
        <v>-1899.96</v>
      </c>
      <c r="E7" s="138"/>
      <c r="F7" s="138">
        <v>2100</v>
      </c>
      <c r="G7" s="138"/>
      <c r="H7" s="138"/>
      <c r="I7" s="138"/>
      <c r="J7" s="139"/>
      <c r="K7" s="28"/>
      <c r="L7" s="28"/>
      <c r="M7" s="28"/>
    </row>
    <row r="8" spans="1:13" ht="15.75">
      <c r="A8" s="140" t="s">
        <v>111</v>
      </c>
      <c r="B8" s="138">
        <v>341.84</v>
      </c>
      <c r="C8" s="138">
        <v>110000</v>
      </c>
      <c r="D8" s="138">
        <v>81737.88</v>
      </c>
      <c r="E8" s="138">
        <v>126643</v>
      </c>
      <c r="F8" s="138">
        <v>125000</v>
      </c>
      <c r="G8" s="138">
        <v>125000</v>
      </c>
      <c r="H8" s="138">
        <v>125000</v>
      </c>
      <c r="I8" s="138">
        <v>125000</v>
      </c>
      <c r="J8" s="139">
        <v>125000</v>
      </c>
      <c r="K8" s="28"/>
      <c r="L8" s="28"/>
      <c r="M8" s="28"/>
    </row>
    <row r="9" spans="1:13" ht="15.75">
      <c r="A9" s="140" t="s">
        <v>112</v>
      </c>
      <c r="B9" s="138"/>
      <c r="C9" s="138"/>
      <c r="D9" s="138"/>
      <c r="E9" s="138"/>
      <c r="F9" s="138"/>
      <c r="G9" s="138"/>
      <c r="H9" s="138"/>
      <c r="I9" s="138"/>
      <c r="J9" s="139"/>
      <c r="K9" s="28"/>
      <c r="L9" s="28"/>
      <c r="M9" s="28"/>
    </row>
    <row r="10" spans="1:13" ht="15.75">
      <c r="A10" s="140" t="s">
        <v>215</v>
      </c>
      <c r="B10" s="138">
        <f>200+228661.97</f>
        <v>228861.97</v>
      </c>
      <c r="C10" s="138"/>
      <c r="D10" s="138">
        <v>15566</v>
      </c>
      <c r="E10" s="138">
        <v>30</v>
      </c>
      <c r="F10" s="138">
        <v>15000</v>
      </c>
      <c r="G10" s="138"/>
      <c r="H10" s="138"/>
      <c r="I10" s="138"/>
      <c r="J10" s="139"/>
      <c r="K10" s="28"/>
      <c r="L10" s="28"/>
      <c r="M10" s="28"/>
    </row>
    <row r="11" spans="1:13" ht="15.75">
      <c r="A11" s="140" t="s">
        <v>113</v>
      </c>
      <c r="B11" s="138">
        <v>1807000</v>
      </c>
      <c r="C11" s="138">
        <v>2500000</v>
      </c>
      <c r="D11" s="138">
        <v>2500000</v>
      </c>
      <c r="E11" s="138"/>
      <c r="F11" s="138">
        <v>2275000</v>
      </c>
      <c r="G11" s="138">
        <v>2100000</v>
      </c>
      <c r="H11" s="138">
        <v>1600000</v>
      </c>
      <c r="I11" s="138">
        <v>1200000</v>
      </c>
      <c r="J11" s="139">
        <v>1600000</v>
      </c>
      <c r="K11" s="28"/>
      <c r="L11" s="28"/>
      <c r="M11" s="28"/>
    </row>
    <row r="12" spans="1:13" ht="20.25">
      <c r="A12" s="141" t="s">
        <v>4</v>
      </c>
      <c r="B12" s="135">
        <f aca="true" t="shared" si="1" ref="B12:J12">SUM(B6:B11)</f>
        <v>2036210.82</v>
      </c>
      <c r="C12" s="135">
        <f t="shared" si="1"/>
        <v>2611520</v>
      </c>
      <c r="D12" s="135">
        <f t="shared" si="1"/>
        <v>2595403.92</v>
      </c>
      <c r="E12" s="135">
        <f t="shared" si="1"/>
        <v>126673</v>
      </c>
      <c r="F12" s="152">
        <f t="shared" si="1"/>
        <v>2417100</v>
      </c>
      <c r="G12" s="152">
        <f t="shared" si="1"/>
        <v>2225000</v>
      </c>
      <c r="H12" s="152">
        <f t="shared" si="1"/>
        <v>1725000</v>
      </c>
      <c r="I12" s="152">
        <f t="shared" si="1"/>
        <v>1325000</v>
      </c>
      <c r="J12" s="153">
        <f t="shared" si="1"/>
        <v>1725000</v>
      </c>
      <c r="K12" s="27"/>
      <c r="L12" s="27"/>
      <c r="M12" s="28"/>
    </row>
    <row r="13" spans="1:13" ht="15.75">
      <c r="A13" s="158" t="s">
        <v>115</v>
      </c>
      <c r="B13" s="138"/>
      <c r="C13" s="138"/>
      <c r="D13" s="138"/>
      <c r="E13" s="138"/>
      <c r="F13" s="138"/>
      <c r="G13" s="138"/>
      <c r="H13" s="138"/>
      <c r="I13" s="138"/>
      <c r="J13" s="139"/>
      <c r="K13" s="28"/>
      <c r="L13" s="28"/>
      <c r="M13" s="28"/>
    </row>
    <row r="14" spans="1:13" ht="15.75">
      <c r="A14" s="165" t="s">
        <v>116</v>
      </c>
      <c r="B14" s="138"/>
      <c r="C14" s="138"/>
      <c r="D14" s="138"/>
      <c r="E14" s="138"/>
      <c r="F14" s="138"/>
      <c r="G14" s="138"/>
      <c r="H14" s="138"/>
      <c r="I14" s="138"/>
      <c r="J14" s="139"/>
      <c r="K14" s="28"/>
      <c r="L14" s="28"/>
      <c r="M14" s="28"/>
    </row>
    <row r="15" spans="1:13" ht="15.75">
      <c r="A15" s="159" t="s">
        <v>333</v>
      </c>
      <c r="B15" s="138"/>
      <c r="C15" s="138"/>
      <c r="D15" s="138"/>
      <c r="E15" s="138"/>
      <c r="F15" s="138"/>
      <c r="G15" s="138">
        <v>1200</v>
      </c>
      <c r="H15" s="138"/>
      <c r="I15" s="138"/>
      <c r="J15" s="139"/>
      <c r="K15" s="28"/>
      <c r="L15" s="28"/>
      <c r="M15" s="28"/>
    </row>
    <row r="16" spans="1:13" ht="15.75">
      <c r="A16" s="159"/>
      <c r="B16" s="138"/>
      <c r="C16" s="138"/>
      <c r="D16" s="138"/>
      <c r="E16" s="138"/>
      <c r="F16" s="138"/>
      <c r="G16" s="138"/>
      <c r="H16" s="138"/>
      <c r="I16" s="138"/>
      <c r="J16" s="139"/>
      <c r="K16" s="28"/>
      <c r="L16" s="28"/>
      <c r="M16" s="28"/>
    </row>
    <row r="17" spans="1:13" ht="15.75">
      <c r="A17" s="158" t="s">
        <v>21</v>
      </c>
      <c r="B17" s="138"/>
      <c r="C17" s="138"/>
      <c r="D17" s="138"/>
      <c r="E17" s="138"/>
      <c r="F17" s="138"/>
      <c r="G17" s="138"/>
      <c r="H17" s="138"/>
      <c r="I17" s="138"/>
      <c r="J17" s="139"/>
      <c r="K17" s="28"/>
      <c r="L17" s="28"/>
      <c r="M17" s="28"/>
    </row>
    <row r="18" spans="1:13" ht="15.75">
      <c r="A18" s="158" t="s">
        <v>22</v>
      </c>
      <c r="B18" s="138"/>
      <c r="C18" s="138"/>
      <c r="D18" s="138"/>
      <c r="E18" s="138"/>
      <c r="F18" s="138"/>
      <c r="G18" s="138"/>
      <c r="H18" s="138"/>
      <c r="I18" s="138"/>
      <c r="J18" s="139"/>
      <c r="K18" s="28"/>
      <c r="L18" s="28"/>
      <c r="M18" s="28"/>
    </row>
    <row r="19" spans="1:13" ht="15.75">
      <c r="A19" s="159" t="s">
        <v>333</v>
      </c>
      <c r="B19" s="138">
        <v>1292.66</v>
      </c>
      <c r="C19" s="138">
        <v>650</v>
      </c>
      <c r="D19" s="138">
        <v>1783.66</v>
      </c>
      <c r="E19" s="138"/>
      <c r="F19" s="138"/>
      <c r="G19" s="138"/>
      <c r="H19" s="138"/>
      <c r="I19" s="138"/>
      <c r="J19" s="139">
        <v>2150</v>
      </c>
      <c r="K19" s="28"/>
      <c r="L19" s="28"/>
      <c r="M19" s="28"/>
    </row>
    <row r="20" spans="1:13" ht="15.75">
      <c r="A20" s="165" t="s">
        <v>24</v>
      </c>
      <c r="B20" s="138"/>
      <c r="C20" s="138"/>
      <c r="D20" s="138"/>
      <c r="E20" s="138"/>
      <c r="F20" s="138"/>
      <c r="G20" s="138"/>
      <c r="H20" s="138"/>
      <c r="I20" s="138"/>
      <c r="J20" s="139"/>
      <c r="K20" s="28"/>
      <c r="L20" s="28"/>
      <c r="M20" s="28"/>
    </row>
    <row r="21" spans="1:13" ht="15.75">
      <c r="A21" s="159" t="s">
        <v>333</v>
      </c>
      <c r="B21" s="138">
        <v>632.88</v>
      </c>
      <c r="C21" s="138">
        <v>3000</v>
      </c>
      <c r="D21" s="138">
        <v>2320.98</v>
      </c>
      <c r="E21" s="138">
        <f>302+151.15</f>
        <v>453.15</v>
      </c>
      <c r="F21" s="138">
        <v>700</v>
      </c>
      <c r="G21" s="138"/>
      <c r="H21" s="138">
        <v>1300</v>
      </c>
      <c r="I21" s="138">
        <v>650</v>
      </c>
      <c r="J21" s="139"/>
      <c r="K21" s="28"/>
      <c r="L21" s="28"/>
      <c r="M21" s="28"/>
    </row>
    <row r="22" spans="1:13" ht="15.75">
      <c r="A22" s="159" t="s">
        <v>25</v>
      </c>
      <c r="B22" s="138"/>
      <c r="C22" s="138">
        <v>56550</v>
      </c>
      <c r="D22" s="138">
        <v>45652</v>
      </c>
      <c r="E22" s="138"/>
      <c r="F22" s="138"/>
      <c r="G22" s="138"/>
      <c r="H22" s="138"/>
      <c r="I22" s="138"/>
      <c r="J22" s="139"/>
      <c r="K22" s="28"/>
      <c r="L22" s="28"/>
      <c r="M22" s="28"/>
    </row>
    <row r="23" spans="1:13" ht="15.75">
      <c r="A23" s="165" t="s">
        <v>26</v>
      </c>
      <c r="B23" s="138"/>
      <c r="C23" s="138"/>
      <c r="D23" s="138"/>
      <c r="E23" s="138"/>
      <c r="F23" s="138"/>
      <c r="G23" s="138"/>
      <c r="H23" s="138"/>
      <c r="I23" s="138"/>
      <c r="J23" s="139"/>
      <c r="K23" s="28"/>
      <c r="L23" s="28"/>
      <c r="M23" s="28"/>
    </row>
    <row r="24" spans="1:13" ht="15.75">
      <c r="A24" s="159" t="s">
        <v>333</v>
      </c>
      <c r="B24" s="138">
        <v>783.88</v>
      </c>
      <c r="C24" s="138">
        <v>800</v>
      </c>
      <c r="D24" s="138">
        <v>626.17</v>
      </c>
      <c r="E24" s="138">
        <v>1287.27</v>
      </c>
      <c r="F24" s="138">
        <v>1350</v>
      </c>
      <c r="G24" s="138"/>
      <c r="H24" s="138"/>
      <c r="I24" s="138"/>
      <c r="J24" s="139"/>
      <c r="K24" s="28"/>
      <c r="L24" s="28"/>
      <c r="M24" s="28"/>
    </row>
    <row r="25" spans="1:13" ht="15.75">
      <c r="A25" s="165" t="s">
        <v>28</v>
      </c>
      <c r="B25" s="138"/>
      <c r="C25" s="138"/>
      <c r="D25" s="138"/>
      <c r="E25" s="138"/>
      <c r="F25" s="138"/>
      <c r="G25" s="138"/>
      <c r="H25" s="138"/>
      <c r="I25" s="138"/>
      <c r="J25" s="139"/>
      <c r="K25" s="28"/>
      <c r="L25" s="28"/>
      <c r="M25" s="28"/>
    </row>
    <row r="26" spans="1:13" ht="15.75">
      <c r="A26" s="159" t="s">
        <v>333</v>
      </c>
      <c r="B26" s="138"/>
      <c r="C26" s="138"/>
      <c r="D26" s="138">
        <v>1718.16</v>
      </c>
      <c r="E26" s="138"/>
      <c r="F26" s="138"/>
      <c r="G26" s="138">
        <v>650</v>
      </c>
      <c r="H26" s="138"/>
      <c r="I26" s="138">
        <v>1750</v>
      </c>
      <c r="J26" s="139"/>
      <c r="K26" s="28"/>
      <c r="L26" s="28"/>
      <c r="M26" s="28"/>
    </row>
    <row r="27" spans="1:13" ht="15.75">
      <c r="A27" s="165" t="s">
        <v>29</v>
      </c>
      <c r="B27" s="138"/>
      <c r="C27" s="138"/>
      <c r="D27" s="138"/>
      <c r="E27" s="138"/>
      <c r="F27" s="138"/>
      <c r="G27" s="138"/>
      <c r="H27" s="138"/>
      <c r="I27" s="138"/>
      <c r="J27" s="139"/>
      <c r="K27" s="28"/>
      <c r="L27" s="28"/>
      <c r="M27" s="28"/>
    </row>
    <row r="28" spans="1:13" ht="15.75">
      <c r="A28" s="159" t="s">
        <v>333</v>
      </c>
      <c r="B28" s="138">
        <v>1555.21</v>
      </c>
      <c r="C28" s="138">
        <v>1300</v>
      </c>
      <c r="D28" s="138">
        <v>1252.34</v>
      </c>
      <c r="E28" s="138">
        <v>7057</v>
      </c>
      <c r="F28" s="138">
        <v>2100</v>
      </c>
      <c r="G28" s="138">
        <v>3700</v>
      </c>
      <c r="H28" s="138">
        <v>1950</v>
      </c>
      <c r="I28" s="138">
        <v>1000</v>
      </c>
      <c r="J28" s="139">
        <v>2000</v>
      </c>
      <c r="K28" s="28"/>
      <c r="L28" s="28"/>
      <c r="M28" s="28"/>
    </row>
    <row r="29" spans="1:13" ht="15.75">
      <c r="A29" s="165" t="s">
        <v>31</v>
      </c>
      <c r="B29" s="138"/>
      <c r="C29" s="138"/>
      <c r="D29" s="138"/>
      <c r="E29" s="138"/>
      <c r="F29" s="138"/>
      <c r="G29" s="138"/>
      <c r="H29" s="138"/>
      <c r="I29" s="138"/>
      <c r="J29" s="139"/>
      <c r="K29" s="28"/>
      <c r="L29" s="28"/>
      <c r="M29" s="28"/>
    </row>
    <row r="30" spans="1:13" ht="15.75">
      <c r="A30" s="159" t="s">
        <v>330</v>
      </c>
      <c r="B30" s="138"/>
      <c r="C30" s="138"/>
      <c r="D30" s="138"/>
      <c r="E30" s="138">
        <f>15098+13301.41+390+731.25+3944.21+5508.75+1365</f>
        <v>40338.62</v>
      </c>
      <c r="F30" s="138">
        <v>41700</v>
      </c>
      <c r="G30" s="138"/>
      <c r="H30" s="138"/>
      <c r="I30" s="138"/>
      <c r="J30" s="139"/>
      <c r="K30" s="28"/>
      <c r="L30" s="28"/>
      <c r="M30" s="28"/>
    </row>
    <row r="31" spans="1:13" ht="15.75">
      <c r="A31" s="160" t="s">
        <v>331</v>
      </c>
      <c r="B31" s="138"/>
      <c r="C31" s="138"/>
      <c r="D31" s="138"/>
      <c r="E31" s="138"/>
      <c r="F31" s="138">
        <v>8800</v>
      </c>
      <c r="G31" s="138">
        <v>14500</v>
      </c>
      <c r="H31" s="138">
        <v>28000</v>
      </c>
      <c r="I31" s="138">
        <v>6000</v>
      </c>
      <c r="J31" s="139">
        <v>16500</v>
      </c>
      <c r="K31" s="28"/>
      <c r="L31" s="28"/>
      <c r="M31" s="28"/>
    </row>
    <row r="32" spans="1:13" ht="15.75" hidden="1">
      <c r="A32" s="160" t="s">
        <v>30</v>
      </c>
      <c r="B32" s="138">
        <f>1737.39+453+998</f>
        <v>3188.3900000000003</v>
      </c>
      <c r="C32" s="138">
        <v>1300</v>
      </c>
      <c r="D32" s="138"/>
      <c r="E32" s="138"/>
      <c r="F32" s="138"/>
      <c r="G32" s="138"/>
      <c r="H32" s="138"/>
      <c r="I32" s="138"/>
      <c r="J32" s="139"/>
      <c r="K32" s="28"/>
      <c r="L32" s="28"/>
      <c r="M32" s="28"/>
    </row>
    <row r="33" spans="1:13" ht="15.75">
      <c r="A33" s="160" t="s">
        <v>332</v>
      </c>
      <c r="B33" s="138"/>
      <c r="C33" s="138"/>
      <c r="D33" s="138"/>
      <c r="E33" s="138">
        <f>8655.65+1221.72</f>
        <v>9877.369999999999</v>
      </c>
      <c r="F33" s="138">
        <v>15000</v>
      </c>
      <c r="G33" s="138"/>
      <c r="H33" s="138"/>
      <c r="I33" s="138"/>
      <c r="J33" s="139"/>
      <c r="K33" s="28"/>
      <c r="L33" s="28"/>
      <c r="M33" s="28"/>
    </row>
    <row r="34" spans="1:13" ht="15.75" hidden="1">
      <c r="A34" s="160" t="s">
        <v>32</v>
      </c>
      <c r="B34" s="138"/>
      <c r="C34" s="138">
        <v>375</v>
      </c>
      <c r="D34" s="138"/>
      <c r="E34" s="138"/>
      <c r="F34" s="138"/>
      <c r="G34" s="138"/>
      <c r="H34" s="138"/>
      <c r="I34" s="138"/>
      <c r="J34" s="139"/>
      <c r="K34" s="28"/>
      <c r="L34" s="28"/>
      <c r="M34" s="28"/>
    </row>
    <row r="35" spans="1:13" ht="15.75" hidden="1">
      <c r="A35" s="160" t="s">
        <v>33</v>
      </c>
      <c r="B35" s="138"/>
      <c r="C35" s="138">
        <v>450</v>
      </c>
      <c r="D35" s="138"/>
      <c r="E35" s="138"/>
      <c r="F35" s="138"/>
      <c r="G35" s="138"/>
      <c r="H35" s="138"/>
      <c r="I35" s="138"/>
      <c r="J35" s="139"/>
      <c r="K35" s="28"/>
      <c r="L35" s="28"/>
      <c r="M35" s="28"/>
    </row>
    <row r="36" spans="1:13" ht="15.75" hidden="1">
      <c r="A36" s="160" t="s">
        <v>34</v>
      </c>
      <c r="B36" s="138"/>
      <c r="C36" s="138">
        <v>600</v>
      </c>
      <c r="D36" s="138">
        <v>375.58</v>
      </c>
      <c r="E36" s="138"/>
      <c r="F36" s="138"/>
      <c r="G36" s="138"/>
      <c r="H36" s="138"/>
      <c r="I36" s="138"/>
      <c r="J36" s="139"/>
      <c r="K36" s="28"/>
      <c r="L36" s="28"/>
      <c r="M36" s="28"/>
    </row>
    <row r="37" spans="1:13" ht="15.75" hidden="1">
      <c r="A37" s="160" t="s">
        <v>35</v>
      </c>
      <c r="B37" s="138"/>
      <c r="C37" s="138">
        <v>3000</v>
      </c>
      <c r="D37" s="138">
        <v>5559.98</v>
      </c>
      <c r="E37" s="138"/>
      <c r="F37" s="138"/>
      <c r="G37" s="138"/>
      <c r="H37" s="138"/>
      <c r="I37" s="138"/>
      <c r="J37" s="139"/>
      <c r="K37" s="28"/>
      <c r="L37" s="28"/>
      <c r="M37" s="28"/>
    </row>
    <row r="38" spans="1:13" ht="15.75" hidden="1">
      <c r="A38" s="160" t="s">
        <v>36</v>
      </c>
      <c r="B38" s="138"/>
      <c r="C38" s="138"/>
      <c r="D38" s="138"/>
      <c r="E38" s="138"/>
      <c r="F38" s="138"/>
      <c r="G38" s="138"/>
      <c r="H38" s="138"/>
      <c r="I38" s="138"/>
      <c r="J38" s="139"/>
      <c r="K38" s="28"/>
      <c r="L38" s="28"/>
      <c r="M38" s="28"/>
    </row>
    <row r="39" spans="1:13" ht="15.75" hidden="1">
      <c r="A39" s="159" t="s">
        <v>216</v>
      </c>
      <c r="B39" s="138">
        <f>375+122.91+11778+1659.14+567.14</f>
        <v>14502.189999999999</v>
      </c>
      <c r="C39" s="138"/>
      <c r="D39" s="138"/>
      <c r="E39" s="138"/>
      <c r="F39" s="138"/>
      <c r="G39" s="138"/>
      <c r="H39" s="138"/>
      <c r="I39" s="138"/>
      <c r="J39" s="139"/>
      <c r="K39" s="28"/>
      <c r="L39" s="28"/>
      <c r="M39" s="28"/>
    </row>
    <row r="40" spans="1:13" ht="15.75">
      <c r="A40" s="159" t="s">
        <v>333</v>
      </c>
      <c r="B40" s="138"/>
      <c r="C40" s="138"/>
      <c r="D40" s="138">
        <f>2504.68+979</f>
        <v>3483.68</v>
      </c>
      <c r="E40" s="138">
        <f>1571+1687</f>
        <v>3258</v>
      </c>
      <c r="F40" s="138">
        <v>3200</v>
      </c>
      <c r="G40" s="138">
        <v>650</v>
      </c>
      <c r="H40" s="138">
        <v>1500</v>
      </c>
      <c r="I40" s="138">
        <v>2950</v>
      </c>
      <c r="J40" s="139"/>
      <c r="K40" s="28"/>
      <c r="L40" s="28"/>
      <c r="M40" s="28"/>
    </row>
    <row r="41" spans="1:13" ht="15.75">
      <c r="A41" s="159"/>
      <c r="B41" s="138"/>
      <c r="C41" s="138"/>
      <c r="D41" s="138"/>
      <c r="E41" s="138"/>
      <c r="F41" s="138"/>
      <c r="G41" s="138"/>
      <c r="H41" s="138"/>
      <c r="I41" s="138"/>
      <c r="J41" s="139"/>
      <c r="K41" s="28"/>
      <c r="L41" s="28"/>
      <c r="M41" s="28"/>
    </row>
    <row r="42" spans="1:13" ht="15.75">
      <c r="A42" s="158" t="s">
        <v>37</v>
      </c>
      <c r="B42" s="138"/>
      <c r="C42" s="138"/>
      <c r="D42" s="138"/>
      <c r="E42" s="138"/>
      <c r="F42" s="138"/>
      <c r="G42" s="138"/>
      <c r="H42" s="138"/>
      <c r="I42" s="138"/>
      <c r="J42" s="139"/>
      <c r="K42" s="28"/>
      <c r="L42" s="28"/>
      <c r="M42" s="28"/>
    </row>
    <row r="43" spans="1:13" ht="15.75">
      <c r="A43" s="165" t="s">
        <v>38</v>
      </c>
      <c r="B43" s="138"/>
      <c r="C43" s="138"/>
      <c r="D43" s="138"/>
      <c r="E43" s="138"/>
      <c r="F43" s="138"/>
      <c r="G43" s="138"/>
      <c r="H43" s="138"/>
      <c r="I43" s="138"/>
      <c r="J43" s="139"/>
      <c r="K43" s="28"/>
      <c r="L43" s="28"/>
      <c r="M43" s="28"/>
    </row>
    <row r="44" spans="1:13" ht="15.75">
      <c r="A44" s="160" t="s">
        <v>347</v>
      </c>
      <c r="B44" s="138">
        <v>27704.63</v>
      </c>
      <c r="C44" s="138">
        <v>62500</v>
      </c>
      <c r="D44" s="138">
        <f>59187.32+1197</f>
        <v>60384.32</v>
      </c>
      <c r="E44" s="138">
        <f>28806+2753.6+99.95+4014.64+23779.24+2133.5+98</f>
        <v>61684.93000000001</v>
      </c>
      <c r="F44" s="138">
        <v>66000</v>
      </c>
      <c r="G44" s="138">
        <v>67600</v>
      </c>
      <c r="H44" s="138">
        <v>69200</v>
      </c>
      <c r="I44" s="138">
        <v>70800</v>
      </c>
      <c r="J44" s="139">
        <v>72600</v>
      </c>
      <c r="K44" s="28"/>
      <c r="L44" s="28"/>
      <c r="M44" s="28"/>
    </row>
    <row r="45" spans="1:13" ht="15.75">
      <c r="A45" s="159" t="s">
        <v>333</v>
      </c>
      <c r="B45" s="138">
        <v>276</v>
      </c>
      <c r="C45" s="138">
        <v>1500</v>
      </c>
      <c r="D45" s="138">
        <v>1455.49</v>
      </c>
      <c r="E45" s="138">
        <v>1287.27</v>
      </c>
      <c r="F45" s="138">
        <v>1350</v>
      </c>
      <c r="G45" s="138"/>
      <c r="H45" s="138"/>
      <c r="I45" s="138"/>
      <c r="J45" s="139">
        <v>1500</v>
      </c>
      <c r="K45" s="28"/>
      <c r="L45" s="28"/>
      <c r="M45" s="28"/>
    </row>
    <row r="46" spans="1:13" ht="15.75" hidden="1">
      <c r="A46" s="160" t="s">
        <v>39</v>
      </c>
      <c r="B46" s="138"/>
      <c r="C46" s="138">
        <v>5180</v>
      </c>
      <c r="D46" s="138"/>
      <c r="E46" s="138"/>
      <c r="F46" s="138"/>
      <c r="G46" s="138"/>
      <c r="H46" s="138"/>
      <c r="I46" s="138"/>
      <c r="J46" s="139"/>
      <c r="K46" s="28"/>
      <c r="L46" s="28"/>
      <c r="M46" s="28"/>
    </row>
    <row r="47" spans="1:13" ht="15.75" hidden="1">
      <c r="A47" s="160" t="s">
        <v>40</v>
      </c>
      <c r="B47" s="138"/>
      <c r="C47" s="138"/>
      <c r="D47" s="138"/>
      <c r="E47" s="138"/>
      <c r="F47" s="138"/>
      <c r="G47" s="138"/>
      <c r="H47" s="138"/>
      <c r="I47" s="138"/>
      <c r="J47" s="139"/>
      <c r="K47" s="28"/>
      <c r="L47" s="28"/>
      <c r="M47" s="28"/>
    </row>
    <row r="48" spans="1:13" ht="15.75">
      <c r="A48" s="158" t="s">
        <v>41</v>
      </c>
      <c r="B48" s="138"/>
      <c r="C48" s="138"/>
      <c r="D48" s="138"/>
      <c r="E48" s="138"/>
      <c r="F48" s="138"/>
      <c r="G48" s="138"/>
      <c r="H48" s="138"/>
      <c r="I48" s="138"/>
      <c r="J48" s="139"/>
      <c r="K48" s="28"/>
      <c r="L48" s="28"/>
      <c r="M48" s="28"/>
    </row>
    <row r="49" spans="1:13" ht="15.75">
      <c r="A49" s="159" t="s">
        <v>333</v>
      </c>
      <c r="B49" s="138">
        <v>125</v>
      </c>
      <c r="C49" s="138">
        <v>1300</v>
      </c>
      <c r="D49" s="138">
        <v>2168</v>
      </c>
      <c r="E49" s="138">
        <v>1423.18</v>
      </c>
      <c r="F49" s="138">
        <v>1650</v>
      </c>
      <c r="G49" s="138"/>
      <c r="H49" s="138">
        <v>1100</v>
      </c>
      <c r="I49" s="138"/>
      <c r="J49" s="139">
        <v>1300</v>
      </c>
      <c r="K49" s="28"/>
      <c r="L49" s="28"/>
      <c r="M49" s="28"/>
    </row>
    <row r="50" spans="1:13" ht="15.75">
      <c r="A50" s="165" t="s">
        <v>42</v>
      </c>
      <c r="B50" s="138"/>
      <c r="C50" s="138"/>
      <c r="D50" s="138"/>
      <c r="E50" s="138"/>
      <c r="F50" s="138"/>
      <c r="G50" s="138"/>
      <c r="H50" s="138"/>
      <c r="I50" s="138"/>
      <c r="J50" s="139"/>
      <c r="K50" s="28"/>
      <c r="L50" s="28"/>
      <c r="M50" s="28"/>
    </row>
    <row r="51" spans="1:13" ht="15.75">
      <c r="A51" s="159" t="s">
        <v>333</v>
      </c>
      <c r="B51" s="138">
        <v>151</v>
      </c>
      <c r="C51" s="138">
        <v>650</v>
      </c>
      <c r="D51" s="138">
        <v>626.17</v>
      </c>
      <c r="E51" s="138">
        <v>1287.27</v>
      </c>
      <c r="F51" s="138">
        <v>1350</v>
      </c>
      <c r="G51" s="138">
        <v>1100</v>
      </c>
      <c r="H51" s="138"/>
      <c r="I51" s="138"/>
      <c r="J51" s="139">
        <v>650</v>
      </c>
      <c r="K51" s="28"/>
      <c r="L51" s="28"/>
      <c r="M51" s="28"/>
    </row>
    <row r="52" spans="1:13" ht="15.75">
      <c r="A52" s="165" t="s">
        <v>43</v>
      </c>
      <c r="B52" s="138"/>
      <c r="C52" s="138"/>
      <c r="D52" s="138"/>
      <c r="E52" s="138"/>
      <c r="F52" s="138"/>
      <c r="G52" s="138"/>
      <c r="H52" s="138"/>
      <c r="I52" s="138"/>
      <c r="J52" s="139"/>
      <c r="K52" s="28"/>
      <c r="L52" s="28"/>
      <c r="M52" s="28"/>
    </row>
    <row r="53" spans="1:13" ht="15.75">
      <c r="A53" s="160" t="s">
        <v>345</v>
      </c>
      <c r="B53" s="138">
        <v>362310.58</v>
      </c>
      <c r="C53" s="138">
        <v>272000</v>
      </c>
      <c r="D53" s="138">
        <v>272233.5</v>
      </c>
      <c r="E53" s="138">
        <f>6159.74+2984.14+273.18+47.41+118.75+224598.67+280+11705.32+301.06+1706.01</f>
        <v>248174.28000000003</v>
      </c>
      <c r="F53" s="138">
        <v>255000</v>
      </c>
      <c r="G53" s="138">
        <v>261600</v>
      </c>
      <c r="H53" s="138">
        <v>268100</v>
      </c>
      <c r="I53" s="138">
        <v>274800</v>
      </c>
      <c r="J53" s="139">
        <v>281700</v>
      </c>
      <c r="K53" s="28"/>
      <c r="L53" s="28"/>
      <c r="M53" s="28"/>
    </row>
    <row r="54" spans="1:13" ht="15.75" hidden="1">
      <c r="A54" s="160" t="s">
        <v>44</v>
      </c>
      <c r="B54" s="138"/>
      <c r="C54" s="138">
        <v>0</v>
      </c>
      <c r="D54" s="138"/>
      <c r="E54" s="138"/>
      <c r="F54" s="138"/>
      <c r="G54" s="138"/>
      <c r="H54" s="138"/>
      <c r="I54" s="138"/>
      <c r="J54" s="139"/>
      <c r="K54" s="28"/>
      <c r="L54" s="28"/>
      <c r="M54" s="28"/>
    </row>
    <row r="55" spans="1:13" ht="15.75" hidden="1">
      <c r="A55" s="160" t="s">
        <v>45</v>
      </c>
      <c r="B55" s="138"/>
      <c r="C55" s="138"/>
      <c r="D55" s="138"/>
      <c r="E55" s="138"/>
      <c r="F55" s="138"/>
      <c r="G55" s="138"/>
      <c r="H55" s="138"/>
      <c r="I55" s="138"/>
      <c r="J55" s="139"/>
      <c r="K55" s="28"/>
      <c r="L55" s="28"/>
      <c r="M55" s="28"/>
    </row>
    <row r="56" spans="1:13" ht="15.75" hidden="1">
      <c r="A56" s="160" t="s">
        <v>46</v>
      </c>
      <c r="B56" s="138"/>
      <c r="C56" s="138"/>
      <c r="D56" s="138"/>
      <c r="E56" s="138"/>
      <c r="F56" s="138"/>
      <c r="G56" s="138"/>
      <c r="H56" s="138"/>
      <c r="I56" s="138"/>
      <c r="J56" s="139"/>
      <c r="K56" s="28"/>
      <c r="L56" s="28"/>
      <c r="M56" s="28"/>
    </row>
    <row r="57" spans="1:13" ht="15.75">
      <c r="A57" s="160" t="s">
        <v>344</v>
      </c>
      <c r="B57" s="138">
        <f>87418.48+32371.2-8503.5</f>
        <v>111286.18</v>
      </c>
      <c r="C57" s="138">
        <v>106000</v>
      </c>
      <c r="D57" s="138">
        <v>105897.5</v>
      </c>
      <c r="E57" s="138">
        <v>108727</v>
      </c>
      <c r="F57" s="138">
        <v>109000</v>
      </c>
      <c r="G57" s="138">
        <v>109000</v>
      </c>
      <c r="H57" s="138"/>
      <c r="I57" s="138"/>
      <c r="J57" s="139"/>
      <c r="K57" s="28"/>
      <c r="L57" s="28"/>
      <c r="M57" s="28"/>
    </row>
    <row r="58" spans="1:13" ht="15.75">
      <c r="A58" s="160" t="s">
        <v>343</v>
      </c>
      <c r="B58" s="138"/>
      <c r="C58" s="138">
        <v>3750</v>
      </c>
      <c r="D58" s="138"/>
      <c r="E58" s="138"/>
      <c r="F58" s="138">
        <v>3750</v>
      </c>
      <c r="G58" s="138">
        <v>3750</v>
      </c>
      <c r="H58" s="138">
        <v>3750</v>
      </c>
      <c r="I58" s="138">
        <v>3750</v>
      </c>
      <c r="J58" s="139">
        <v>3750</v>
      </c>
      <c r="K58" s="28"/>
      <c r="L58" s="28"/>
      <c r="M58" s="28"/>
    </row>
    <row r="59" spans="1:13" ht="15.75">
      <c r="A59" s="159" t="s">
        <v>346</v>
      </c>
      <c r="B59" s="138">
        <v>1725</v>
      </c>
      <c r="C59" s="138">
        <v>1730</v>
      </c>
      <c r="D59" s="138">
        <v>1725</v>
      </c>
      <c r="E59" s="138"/>
      <c r="F59" s="138">
        <v>1800</v>
      </c>
      <c r="G59" s="138">
        <v>1800</v>
      </c>
      <c r="H59" s="138">
        <v>1800</v>
      </c>
      <c r="I59" s="138">
        <v>1800</v>
      </c>
      <c r="J59" s="139">
        <v>1800</v>
      </c>
      <c r="K59" s="28"/>
      <c r="L59" s="28"/>
      <c r="M59" s="28"/>
    </row>
    <row r="60" spans="1:13" ht="15.75">
      <c r="A60" s="160" t="s">
        <v>334</v>
      </c>
      <c r="B60" s="138"/>
      <c r="C60" s="138">
        <v>2630</v>
      </c>
      <c r="D60" s="138"/>
      <c r="E60" s="138"/>
      <c r="F60" s="138">
        <v>2700</v>
      </c>
      <c r="G60" s="138">
        <v>2700</v>
      </c>
      <c r="H60" s="138">
        <v>2700</v>
      </c>
      <c r="I60" s="138">
        <v>2700</v>
      </c>
      <c r="J60" s="139">
        <v>2700</v>
      </c>
      <c r="K60" s="28"/>
      <c r="L60" s="28"/>
      <c r="M60" s="28"/>
    </row>
    <row r="61" spans="1:13" ht="15.75">
      <c r="A61" s="159" t="s">
        <v>335</v>
      </c>
      <c r="B61" s="138">
        <v>36678.92</v>
      </c>
      <c r="C61" s="138">
        <v>38500</v>
      </c>
      <c r="D61" s="138">
        <f>34430.88+1769.12</f>
        <v>36200</v>
      </c>
      <c r="E61" s="138">
        <f>37993.9-6367.95</f>
        <v>31625.95</v>
      </c>
      <c r="F61" s="138">
        <v>38500</v>
      </c>
      <c r="G61" s="138">
        <v>38500</v>
      </c>
      <c r="H61" s="138">
        <v>38500</v>
      </c>
      <c r="I61" s="138">
        <v>38500</v>
      </c>
      <c r="J61" s="139">
        <v>38500</v>
      </c>
      <c r="K61" s="28"/>
      <c r="L61" s="28"/>
      <c r="M61" s="28"/>
    </row>
    <row r="62" spans="1:13" ht="15.75">
      <c r="A62" s="159" t="s">
        <v>47</v>
      </c>
      <c r="B62" s="138"/>
      <c r="C62" s="138"/>
      <c r="D62" s="138">
        <v>3430</v>
      </c>
      <c r="E62" s="138"/>
      <c r="F62" s="138"/>
      <c r="G62" s="138"/>
      <c r="H62" s="138">
        <v>20000</v>
      </c>
      <c r="I62" s="138"/>
      <c r="J62" s="139"/>
      <c r="K62" s="28"/>
      <c r="L62" s="28"/>
      <c r="M62" s="28"/>
    </row>
    <row r="63" spans="1:13" ht="15.75">
      <c r="A63" s="159" t="s">
        <v>336</v>
      </c>
      <c r="B63" s="138">
        <v>9130.99</v>
      </c>
      <c r="C63" s="138">
        <v>9800</v>
      </c>
      <c r="D63" s="138">
        <v>9328.99</v>
      </c>
      <c r="E63" s="138"/>
      <c r="F63" s="138">
        <v>9500</v>
      </c>
      <c r="G63" s="138"/>
      <c r="H63" s="138">
        <v>9500</v>
      </c>
      <c r="I63" s="138">
        <v>9500</v>
      </c>
      <c r="J63" s="139">
        <v>9500</v>
      </c>
      <c r="K63" s="28"/>
      <c r="L63" s="28"/>
      <c r="M63" s="28"/>
    </row>
    <row r="64" spans="1:13" ht="15.75">
      <c r="A64" s="160" t="s">
        <v>342</v>
      </c>
      <c r="B64" s="138"/>
      <c r="C64" s="138">
        <v>10750</v>
      </c>
      <c r="D64" s="138">
        <v>5975</v>
      </c>
      <c r="E64" s="138"/>
      <c r="F64" s="138">
        <v>11000</v>
      </c>
      <c r="G64" s="138">
        <v>11000</v>
      </c>
      <c r="H64" s="138">
        <v>11000</v>
      </c>
      <c r="I64" s="138">
        <v>11000</v>
      </c>
      <c r="J64" s="139">
        <v>11000</v>
      </c>
      <c r="K64" s="28"/>
      <c r="L64" s="28"/>
      <c r="M64" s="28"/>
    </row>
    <row r="65" spans="1:13" ht="15.75">
      <c r="A65" s="160" t="s">
        <v>337</v>
      </c>
      <c r="B65" s="138"/>
      <c r="C65" s="138"/>
      <c r="D65" s="138"/>
      <c r="E65" s="138"/>
      <c r="F65" s="138">
        <v>9800</v>
      </c>
      <c r="G65" s="138"/>
      <c r="H65" s="138"/>
      <c r="I65" s="138"/>
      <c r="J65" s="139"/>
      <c r="K65" s="28"/>
      <c r="L65" s="28"/>
      <c r="M65" s="28"/>
    </row>
    <row r="66" spans="1:13" ht="15.75">
      <c r="A66" s="160" t="s">
        <v>568</v>
      </c>
      <c r="B66" s="138"/>
      <c r="C66" s="138"/>
      <c r="D66" s="138"/>
      <c r="E66" s="138">
        <v>3367.65</v>
      </c>
      <c r="F66" s="138"/>
      <c r="G66" s="138"/>
      <c r="H66" s="138"/>
      <c r="I66" s="138"/>
      <c r="J66" s="139"/>
      <c r="K66" s="28"/>
      <c r="L66" s="28"/>
      <c r="M66" s="28"/>
    </row>
    <row r="67" spans="1:13" ht="15.75">
      <c r="A67" s="160" t="s">
        <v>318</v>
      </c>
      <c r="B67" s="138"/>
      <c r="C67" s="138"/>
      <c r="D67" s="138"/>
      <c r="E67" s="138">
        <f>23985.5+1394</f>
        <v>25379.5</v>
      </c>
      <c r="F67" s="138">
        <v>26000</v>
      </c>
      <c r="G67" s="138"/>
      <c r="H67" s="138"/>
      <c r="I67" s="138"/>
      <c r="J67" s="139"/>
      <c r="K67" s="28"/>
      <c r="L67" s="28"/>
      <c r="M67" s="28"/>
    </row>
    <row r="68" spans="1:13" ht="15.75">
      <c r="A68" s="160" t="s">
        <v>59</v>
      </c>
      <c r="B68" s="138"/>
      <c r="C68" s="138"/>
      <c r="D68" s="138"/>
      <c r="E68" s="138"/>
      <c r="F68" s="138">
        <v>35000</v>
      </c>
      <c r="G68" s="138"/>
      <c r="H68" s="138"/>
      <c r="I68" s="138"/>
      <c r="J68" s="139"/>
      <c r="K68" s="28"/>
      <c r="L68" s="28"/>
      <c r="M68" s="28"/>
    </row>
    <row r="69" spans="1:13" ht="15.75">
      <c r="A69" s="159" t="s">
        <v>338</v>
      </c>
      <c r="B69" s="138"/>
      <c r="C69" s="138"/>
      <c r="D69" s="138"/>
      <c r="E69" s="138"/>
      <c r="F69" s="138">
        <v>11400</v>
      </c>
      <c r="G69" s="138"/>
      <c r="H69" s="138"/>
      <c r="I69" s="138">
        <v>10000</v>
      </c>
      <c r="J69" s="139"/>
      <c r="K69" s="28"/>
      <c r="L69" s="28"/>
      <c r="M69" s="28"/>
    </row>
    <row r="70" spans="1:13" ht="15.75">
      <c r="A70" s="159" t="s">
        <v>339</v>
      </c>
      <c r="B70" s="138"/>
      <c r="C70" s="138"/>
      <c r="D70" s="138"/>
      <c r="E70" s="138"/>
      <c r="F70" s="138">
        <v>34200</v>
      </c>
      <c r="G70" s="138"/>
      <c r="H70" s="138"/>
      <c r="I70" s="138"/>
      <c r="J70" s="139"/>
      <c r="K70" s="28"/>
      <c r="L70" s="28"/>
      <c r="M70" s="28"/>
    </row>
    <row r="71" spans="1:13" ht="15.75">
      <c r="A71" s="159" t="s">
        <v>340</v>
      </c>
      <c r="B71" s="138"/>
      <c r="C71" s="138">
        <v>3800</v>
      </c>
      <c r="D71" s="138"/>
      <c r="E71" s="138"/>
      <c r="F71" s="138"/>
      <c r="G71" s="138"/>
      <c r="H71" s="138"/>
      <c r="I71" s="138"/>
      <c r="J71" s="139"/>
      <c r="K71" s="28"/>
      <c r="L71" s="28"/>
      <c r="M71" s="28"/>
    </row>
    <row r="72" spans="1:13" ht="15.75">
      <c r="A72" s="159" t="s">
        <v>333</v>
      </c>
      <c r="B72" s="138"/>
      <c r="C72" s="138"/>
      <c r="D72" s="138">
        <v>586.29</v>
      </c>
      <c r="E72" s="138">
        <f>9186.31+774+1872.09+36888.74+1650.72</f>
        <v>50371.86</v>
      </c>
      <c r="F72" s="138">
        <f>2650+52850</f>
        <v>55500</v>
      </c>
      <c r="G72" s="138">
        <f>3900+34000</f>
        <v>37900</v>
      </c>
      <c r="H72" s="138">
        <f>1300+13600</f>
        <v>14900</v>
      </c>
      <c r="I72" s="138">
        <f>1300+17000</f>
        <v>18300</v>
      </c>
      <c r="J72" s="139">
        <f>5100+47600</f>
        <v>52700</v>
      </c>
      <c r="K72" s="28"/>
      <c r="L72" s="28"/>
      <c r="M72" s="28"/>
    </row>
    <row r="73" spans="1:13" ht="15.75" hidden="1">
      <c r="A73" s="159" t="s">
        <v>48</v>
      </c>
      <c r="B73" s="138"/>
      <c r="C73" s="138">
        <v>6200</v>
      </c>
      <c r="D73" s="138">
        <f>43.25+5805+343.66</f>
        <v>6191.91</v>
      </c>
      <c r="E73" s="138"/>
      <c r="F73" s="138"/>
      <c r="G73" s="138"/>
      <c r="H73" s="138"/>
      <c r="I73" s="138"/>
      <c r="J73" s="139"/>
      <c r="K73" s="28"/>
      <c r="L73" s="28"/>
      <c r="M73" s="28"/>
    </row>
    <row r="74" spans="1:13" ht="15.75" hidden="1">
      <c r="A74" s="159" t="s">
        <v>49</v>
      </c>
      <c r="B74" s="138"/>
      <c r="C74" s="138">
        <v>12200</v>
      </c>
      <c r="D74" s="138">
        <v>9642</v>
      </c>
      <c r="E74" s="138"/>
      <c r="F74" s="138"/>
      <c r="G74" s="138"/>
      <c r="H74" s="138"/>
      <c r="I74" s="138"/>
      <c r="J74" s="139"/>
      <c r="K74" s="28"/>
      <c r="L74" s="28"/>
      <c r="M74" s="28"/>
    </row>
    <row r="75" spans="1:13" ht="15.75" hidden="1">
      <c r="A75" s="159" t="s">
        <v>50</v>
      </c>
      <c r="B75" s="138"/>
      <c r="C75" s="138">
        <v>11800</v>
      </c>
      <c r="D75" s="138">
        <f>2550.86+125+3299.99</f>
        <v>5975.85</v>
      </c>
      <c r="E75" s="138"/>
      <c r="F75" s="138"/>
      <c r="G75" s="138"/>
      <c r="H75" s="138"/>
      <c r="I75" s="138"/>
      <c r="J75" s="139"/>
      <c r="K75" s="28"/>
      <c r="L75" s="28"/>
      <c r="M75" s="28"/>
    </row>
    <row r="76" spans="1:13" ht="15.75" hidden="1">
      <c r="A76" s="159" t="s">
        <v>23</v>
      </c>
      <c r="B76" s="138"/>
      <c r="C76" s="138">
        <v>1300</v>
      </c>
      <c r="D76" s="138">
        <f>1252.34+29.99</f>
        <v>1282.33</v>
      </c>
      <c r="E76" s="138"/>
      <c r="F76" s="138"/>
      <c r="G76" s="138"/>
      <c r="H76" s="138"/>
      <c r="I76" s="138"/>
      <c r="J76" s="139"/>
      <c r="K76" s="28"/>
      <c r="L76" s="28"/>
      <c r="M76" s="28"/>
    </row>
    <row r="77" spans="1:13" ht="15.75" hidden="1">
      <c r="A77" s="159" t="s">
        <v>317</v>
      </c>
      <c r="B77" s="138">
        <f>7705.56+1993.16</f>
        <v>9698.720000000001</v>
      </c>
      <c r="C77" s="138">
        <v>20875</v>
      </c>
      <c r="D77" s="138">
        <v>23223.69</v>
      </c>
      <c r="E77" s="138"/>
      <c r="F77" s="138"/>
      <c r="G77" s="138"/>
      <c r="H77" s="138"/>
      <c r="I77" s="138"/>
      <c r="J77" s="139"/>
      <c r="K77" s="28"/>
      <c r="L77" s="28"/>
      <c r="M77" s="28"/>
    </row>
    <row r="78" spans="1:13" ht="15.75">
      <c r="A78" s="165" t="s">
        <v>51</v>
      </c>
      <c r="B78" s="138"/>
      <c r="C78" s="138"/>
      <c r="D78" s="138"/>
      <c r="E78" s="138"/>
      <c r="F78" s="138"/>
      <c r="G78" s="138"/>
      <c r="H78" s="138"/>
      <c r="I78" s="138"/>
      <c r="J78" s="139"/>
      <c r="K78" s="28"/>
      <c r="L78" s="28"/>
      <c r="M78" s="28"/>
    </row>
    <row r="79" spans="1:13" ht="15.75">
      <c r="A79" s="160" t="s">
        <v>341</v>
      </c>
      <c r="B79" s="138">
        <v>26842.67</v>
      </c>
      <c r="C79" s="138">
        <v>32300</v>
      </c>
      <c r="D79" s="138">
        <f>27674.26+567+6+2662.6</f>
        <v>30909.859999999997</v>
      </c>
      <c r="E79" s="138">
        <v>30848.7</v>
      </c>
      <c r="F79" s="138">
        <v>63000</v>
      </c>
      <c r="G79" s="138">
        <v>32300</v>
      </c>
      <c r="H79" s="138">
        <v>33100</v>
      </c>
      <c r="I79" s="138">
        <v>33900</v>
      </c>
      <c r="J79" s="139">
        <v>34800</v>
      </c>
      <c r="K79" s="28"/>
      <c r="L79" s="28"/>
      <c r="M79" s="28"/>
    </row>
    <row r="80" spans="1:13" ht="15.75">
      <c r="A80" s="159" t="s">
        <v>333</v>
      </c>
      <c r="B80" s="138">
        <v>2846.97</v>
      </c>
      <c r="C80" s="138">
        <v>650</v>
      </c>
      <c r="D80" s="138">
        <v>626.17</v>
      </c>
      <c r="E80" s="138">
        <v>3461.36</v>
      </c>
      <c r="F80" s="138">
        <v>3650</v>
      </c>
      <c r="G80" s="138">
        <v>650</v>
      </c>
      <c r="H80" s="138">
        <v>2400</v>
      </c>
      <c r="I80" s="138">
        <v>1950</v>
      </c>
      <c r="J80" s="139">
        <v>650</v>
      </c>
      <c r="K80" s="28"/>
      <c r="L80" s="28"/>
      <c r="M80" s="28"/>
    </row>
    <row r="81" spans="1:13" ht="15.75">
      <c r="A81" s="161" t="s">
        <v>52</v>
      </c>
      <c r="B81" s="138"/>
      <c r="C81" s="138">
        <v>4480</v>
      </c>
      <c r="D81" s="138">
        <f>875+3546</f>
        <v>4421</v>
      </c>
      <c r="E81" s="138"/>
      <c r="F81" s="138"/>
      <c r="G81" s="138"/>
      <c r="H81" s="138"/>
      <c r="I81" s="138"/>
      <c r="J81" s="139"/>
      <c r="K81" s="28"/>
      <c r="L81" s="28"/>
      <c r="M81" s="28"/>
    </row>
    <row r="82" spans="1:13" ht="15.75">
      <c r="A82" s="166" t="s">
        <v>53</v>
      </c>
      <c r="B82" s="138"/>
      <c r="C82" s="138"/>
      <c r="D82" s="138"/>
      <c r="E82" s="138"/>
      <c r="F82" s="138"/>
      <c r="G82" s="138"/>
      <c r="H82" s="138"/>
      <c r="I82" s="138"/>
      <c r="J82" s="139"/>
      <c r="K82" s="28"/>
      <c r="L82" s="28"/>
      <c r="M82" s="28"/>
    </row>
    <row r="83" spans="1:13" ht="15.75">
      <c r="A83" s="159" t="s">
        <v>333</v>
      </c>
      <c r="B83" s="138"/>
      <c r="C83" s="138"/>
      <c r="D83" s="138"/>
      <c r="E83" s="138">
        <v>1287.27</v>
      </c>
      <c r="F83" s="138">
        <v>1350</v>
      </c>
      <c r="G83" s="138"/>
      <c r="H83" s="138">
        <v>650</v>
      </c>
      <c r="I83" s="138">
        <v>2600</v>
      </c>
      <c r="J83" s="139">
        <v>3250</v>
      </c>
      <c r="K83" s="28"/>
      <c r="L83" s="28"/>
      <c r="M83" s="28"/>
    </row>
    <row r="84" spans="1:13" ht="15.75" hidden="1">
      <c r="A84" s="160" t="s">
        <v>27</v>
      </c>
      <c r="B84" s="138"/>
      <c r="C84" s="138">
        <v>800</v>
      </c>
      <c r="D84" s="138">
        <v>151</v>
      </c>
      <c r="E84" s="138"/>
      <c r="F84" s="138"/>
      <c r="G84" s="138"/>
      <c r="H84" s="138"/>
      <c r="I84" s="138"/>
      <c r="J84" s="139"/>
      <c r="K84" s="28"/>
      <c r="L84" s="28"/>
      <c r="M84" s="28"/>
    </row>
    <row r="85" spans="1:13" ht="15.75" hidden="1">
      <c r="A85" s="160" t="s">
        <v>54</v>
      </c>
      <c r="B85" s="138">
        <v>2063.99</v>
      </c>
      <c r="C85" s="138">
        <v>2600</v>
      </c>
      <c r="D85" s="138">
        <v>3130.85</v>
      </c>
      <c r="E85" s="138"/>
      <c r="F85" s="138"/>
      <c r="G85" s="138"/>
      <c r="H85" s="138"/>
      <c r="I85" s="138"/>
      <c r="J85" s="139"/>
      <c r="K85" s="28"/>
      <c r="L85" s="28"/>
      <c r="M85" s="28"/>
    </row>
    <row r="86" spans="1:13" ht="15.75" hidden="1">
      <c r="A86" s="160" t="s">
        <v>55</v>
      </c>
      <c r="B86" s="138"/>
      <c r="C86" s="138">
        <v>11720</v>
      </c>
      <c r="D86" s="138">
        <v>6121</v>
      </c>
      <c r="E86" s="138"/>
      <c r="F86" s="138"/>
      <c r="G86" s="138"/>
      <c r="H86" s="138"/>
      <c r="I86" s="138"/>
      <c r="J86" s="139"/>
      <c r="K86" s="28"/>
      <c r="L86" s="28"/>
      <c r="M86" s="28"/>
    </row>
    <row r="87" spans="1:13" ht="15.75">
      <c r="A87" s="165" t="s">
        <v>56</v>
      </c>
      <c r="B87" s="138"/>
      <c r="C87" s="138"/>
      <c r="D87" s="138"/>
      <c r="E87" s="138"/>
      <c r="F87" s="138"/>
      <c r="G87" s="138"/>
      <c r="H87" s="138"/>
      <c r="I87" s="138"/>
      <c r="J87" s="139"/>
      <c r="K87" s="28"/>
      <c r="L87" s="28"/>
      <c r="M87" s="28"/>
    </row>
    <row r="88" spans="1:13" ht="15.75">
      <c r="A88" s="159" t="s">
        <v>333</v>
      </c>
      <c r="B88" s="138"/>
      <c r="C88" s="138"/>
      <c r="D88" s="138"/>
      <c r="E88" s="138">
        <v>1287.27</v>
      </c>
      <c r="F88" s="138">
        <v>1350</v>
      </c>
      <c r="G88" s="138"/>
      <c r="H88" s="138"/>
      <c r="I88" s="138"/>
      <c r="J88" s="139"/>
      <c r="K88" s="28"/>
      <c r="L88" s="28"/>
      <c r="M88" s="28"/>
    </row>
    <row r="89" spans="1:13" ht="15.75">
      <c r="A89" s="165" t="s">
        <v>327</v>
      </c>
      <c r="B89" s="138">
        <v>194100</v>
      </c>
      <c r="C89" s="138">
        <v>302490</v>
      </c>
      <c r="D89" s="138">
        <v>302487</v>
      </c>
      <c r="E89" s="138"/>
      <c r="F89" s="138"/>
      <c r="G89" s="138"/>
      <c r="H89" s="138"/>
      <c r="I89" s="138"/>
      <c r="J89" s="139"/>
      <c r="K89" s="28"/>
      <c r="L89" s="28"/>
      <c r="M89" s="28"/>
    </row>
    <row r="90" spans="1:13" ht="15.75">
      <c r="A90" s="159" t="s">
        <v>199</v>
      </c>
      <c r="B90" s="138"/>
      <c r="C90" s="138"/>
      <c r="D90" s="138"/>
      <c r="E90" s="138"/>
      <c r="F90" s="138"/>
      <c r="G90" s="138">
        <v>285100</v>
      </c>
      <c r="H90" s="138"/>
      <c r="I90" s="138"/>
      <c r="J90" s="139"/>
      <c r="K90" s="28"/>
      <c r="L90" s="28"/>
      <c r="M90" s="28"/>
    </row>
    <row r="91" spans="1:13" ht="15.75" hidden="1">
      <c r="A91" s="159" t="s">
        <v>57</v>
      </c>
      <c r="B91" s="138"/>
      <c r="C91" s="138"/>
      <c r="D91" s="138"/>
      <c r="E91" s="138"/>
      <c r="F91" s="138"/>
      <c r="G91" s="138"/>
      <c r="H91" s="138"/>
      <c r="I91" s="138"/>
      <c r="J91" s="139"/>
      <c r="K91" s="28"/>
      <c r="L91" s="28"/>
      <c r="M91" s="28"/>
    </row>
    <row r="92" spans="1:13" ht="15.75">
      <c r="A92" s="159" t="s">
        <v>191</v>
      </c>
      <c r="B92" s="138"/>
      <c r="C92" s="138"/>
      <c r="D92" s="138"/>
      <c r="E92" s="138">
        <f>70000*0.7563</f>
        <v>52941</v>
      </c>
      <c r="F92" s="138">
        <v>52950</v>
      </c>
      <c r="G92" s="138"/>
      <c r="H92" s="138">
        <v>49900</v>
      </c>
      <c r="I92" s="138"/>
      <c r="J92" s="139">
        <v>55200</v>
      </c>
      <c r="K92" s="28"/>
      <c r="L92" s="28"/>
      <c r="M92" s="28"/>
    </row>
    <row r="93" spans="1:13" ht="15.75">
      <c r="A93" s="159" t="s">
        <v>185</v>
      </c>
      <c r="B93" s="138"/>
      <c r="C93" s="138"/>
      <c r="D93" s="138"/>
      <c r="E93" s="138"/>
      <c r="F93" s="138"/>
      <c r="G93" s="138"/>
      <c r="H93" s="138">
        <v>255600</v>
      </c>
      <c r="I93" s="138"/>
      <c r="J93" s="139"/>
      <c r="K93" s="28"/>
      <c r="L93" s="28"/>
      <c r="M93" s="28"/>
    </row>
    <row r="94" spans="1:13" ht="15.75">
      <c r="A94" s="159" t="s">
        <v>206</v>
      </c>
      <c r="B94" s="138"/>
      <c r="C94" s="138"/>
      <c r="D94" s="138"/>
      <c r="E94" s="138"/>
      <c r="F94" s="138"/>
      <c r="G94" s="138"/>
      <c r="H94" s="138">
        <v>221600</v>
      </c>
      <c r="I94" s="138"/>
      <c r="J94" s="139">
        <v>236000</v>
      </c>
      <c r="K94" s="28"/>
      <c r="L94" s="28"/>
      <c r="M94" s="28"/>
    </row>
    <row r="95" spans="1:13" ht="15.75">
      <c r="A95" s="159" t="s">
        <v>184</v>
      </c>
      <c r="B95" s="138"/>
      <c r="C95" s="138"/>
      <c r="D95" s="138"/>
      <c r="E95" s="138"/>
      <c r="F95" s="138"/>
      <c r="G95" s="138"/>
      <c r="H95" s="138"/>
      <c r="I95" s="138">
        <v>175500</v>
      </c>
      <c r="J95" s="139"/>
      <c r="K95" s="28"/>
      <c r="L95" s="28"/>
      <c r="M95" s="28"/>
    </row>
    <row r="96" spans="1:13" ht="15.75">
      <c r="A96" s="159" t="s">
        <v>348</v>
      </c>
      <c r="B96" s="138"/>
      <c r="C96" s="138"/>
      <c r="D96" s="138"/>
      <c r="E96" s="138"/>
      <c r="F96" s="138"/>
      <c r="G96" s="138"/>
      <c r="H96" s="138"/>
      <c r="I96" s="138">
        <v>175500</v>
      </c>
      <c r="J96" s="139"/>
      <c r="K96" s="28"/>
      <c r="L96" s="28"/>
      <c r="M96" s="28"/>
    </row>
    <row r="97" spans="1:13" ht="15.75">
      <c r="A97" s="159" t="s">
        <v>186</v>
      </c>
      <c r="B97" s="138"/>
      <c r="C97" s="138"/>
      <c r="D97" s="138"/>
      <c r="E97" s="138"/>
      <c r="F97" s="138"/>
      <c r="G97" s="138"/>
      <c r="H97" s="138"/>
      <c r="I97" s="138"/>
      <c r="J97" s="139">
        <v>271500</v>
      </c>
      <c r="K97" s="28"/>
      <c r="L97" s="28"/>
      <c r="M97" s="28"/>
    </row>
    <row r="98" spans="1:13" ht="15.75">
      <c r="A98" s="159" t="s">
        <v>349</v>
      </c>
      <c r="B98" s="138"/>
      <c r="C98" s="138"/>
      <c r="D98" s="138"/>
      <c r="E98" s="138"/>
      <c r="F98" s="138"/>
      <c r="G98" s="138">
        <v>34000</v>
      </c>
      <c r="H98" s="138">
        <v>45400</v>
      </c>
      <c r="I98" s="138">
        <v>51400</v>
      </c>
      <c r="J98" s="139"/>
      <c r="K98" s="28"/>
      <c r="L98" s="28"/>
      <c r="M98" s="28"/>
    </row>
    <row r="99" spans="1:13" ht="15.75">
      <c r="A99" s="159" t="s">
        <v>67</v>
      </c>
      <c r="B99" s="138"/>
      <c r="C99" s="138"/>
      <c r="D99" s="138"/>
      <c r="E99" s="138"/>
      <c r="F99" s="138"/>
      <c r="G99" s="138"/>
      <c r="H99" s="138">
        <v>18900</v>
      </c>
      <c r="I99" s="138"/>
      <c r="J99" s="139"/>
      <c r="K99" s="28"/>
      <c r="L99" s="28"/>
      <c r="M99" s="28"/>
    </row>
    <row r="100" spans="1:13" ht="15.75">
      <c r="A100" s="159" t="s">
        <v>183</v>
      </c>
      <c r="B100" s="138"/>
      <c r="C100" s="138"/>
      <c r="D100" s="138"/>
      <c r="E100" s="138"/>
      <c r="F100" s="138"/>
      <c r="G100" s="138"/>
      <c r="H100" s="138"/>
      <c r="I100" s="138">
        <v>37800</v>
      </c>
      <c r="J100" s="139"/>
      <c r="K100" s="28"/>
      <c r="L100" s="28"/>
      <c r="M100" s="28"/>
    </row>
    <row r="101" spans="1:13" ht="15.75">
      <c r="A101" s="159" t="s">
        <v>350</v>
      </c>
      <c r="B101" s="138"/>
      <c r="C101" s="138"/>
      <c r="D101" s="138"/>
      <c r="E101" s="138"/>
      <c r="F101" s="138"/>
      <c r="G101" s="138"/>
      <c r="H101" s="138"/>
      <c r="I101" s="138"/>
      <c r="J101" s="139">
        <v>56700</v>
      </c>
      <c r="K101" s="28"/>
      <c r="L101" s="28"/>
      <c r="M101" s="28"/>
    </row>
    <row r="102" spans="1:13" ht="15.75">
      <c r="A102" s="159" t="s">
        <v>62</v>
      </c>
      <c r="B102" s="138"/>
      <c r="C102" s="138"/>
      <c r="D102" s="138"/>
      <c r="E102" s="138">
        <f>65000*0.7563</f>
        <v>49159.5</v>
      </c>
      <c r="F102" s="138">
        <v>49160</v>
      </c>
      <c r="G102" s="138">
        <v>35900</v>
      </c>
      <c r="H102" s="138">
        <v>37800</v>
      </c>
      <c r="I102" s="138">
        <v>39700</v>
      </c>
      <c r="J102" s="139">
        <v>41600</v>
      </c>
      <c r="K102" s="28"/>
      <c r="L102" s="28"/>
      <c r="M102" s="28"/>
    </row>
    <row r="103" spans="1:13" ht="15.75" hidden="1">
      <c r="A103" s="159" t="s">
        <v>58</v>
      </c>
      <c r="B103" s="138"/>
      <c r="C103" s="138"/>
      <c r="D103" s="138"/>
      <c r="E103" s="138"/>
      <c r="F103" s="138"/>
      <c r="G103" s="138"/>
      <c r="H103" s="138"/>
      <c r="I103" s="138"/>
      <c r="J103" s="139"/>
      <c r="K103" s="28"/>
      <c r="L103" s="28"/>
      <c r="M103" s="28"/>
    </row>
    <row r="104" spans="1:13" ht="15.75" hidden="1">
      <c r="A104" s="159" t="s">
        <v>59</v>
      </c>
      <c r="B104" s="138"/>
      <c r="C104" s="138"/>
      <c r="D104" s="138"/>
      <c r="E104" s="138"/>
      <c r="F104" s="138"/>
      <c r="G104" s="138"/>
      <c r="H104" s="138"/>
      <c r="I104" s="138"/>
      <c r="J104" s="139"/>
      <c r="K104" s="28"/>
      <c r="L104" s="28"/>
      <c r="M104" s="28"/>
    </row>
    <row r="105" spans="1:13" ht="15.75" hidden="1">
      <c r="A105" s="159" t="s">
        <v>60</v>
      </c>
      <c r="B105" s="138"/>
      <c r="C105" s="138"/>
      <c r="D105" s="138"/>
      <c r="E105" s="138"/>
      <c r="F105" s="138"/>
      <c r="G105" s="138"/>
      <c r="H105" s="138"/>
      <c r="I105" s="138"/>
      <c r="J105" s="139"/>
      <c r="K105" s="28"/>
      <c r="L105" s="28"/>
      <c r="M105" s="28"/>
    </row>
    <row r="106" spans="1:13" ht="15.75" hidden="1">
      <c r="A106" s="159" t="s">
        <v>61</v>
      </c>
      <c r="B106" s="138"/>
      <c r="C106" s="138"/>
      <c r="D106" s="138"/>
      <c r="E106" s="138"/>
      <c r="F106" s="138"/>
      <c r="G106" s="138"/>
      <c r="H106" s="138"/>
      <c r="I106" s="138"/>
      <c r="J106" s="139"/>
      <c r="K106" s="28"/>
      <c r="L106" s="28"/>
      <c r="M106" s="28"/>
    </row>
    <row r="107" spans="1:13" ht="15.75">
      <c r="A107" s="159" t="s">
        <v>63</v>
      </c>
      <c r="B107" s="138"/>
      <c r="C107" s="138"/>
      <c r="D107" s="138"/>
      <c r="E107" s="138">
        <f>130000*0.7563</f>
        <v>98319</v>
      </c>
      <c r="F107" s="138">
        <v>98320</v>
      </c>
      <c r="G107" s="138"/>
      <c r="H107" s="138"/>
      <c r="I107" s="138"/>
      <c r="J107" s="139"/>
      <c r="K107" s="28"/>
      <c r="L107" s="28"/>
      <c r="M107" s="28"/>
    </row>
    <row r="108" spans="1:13" ht="15.75">
      <c r="A108" s="159" t="s">
        <v>64</v>
      </c>
      <c r="B108" s="138"/>
      <c r="C108" s="138"/>
      <c r="D108" s="138"/>
      <c r="E108" s="138">
        <f>20000*0.7563</f>
        <v>15126</v>
      </c>
      <c r="F108" s="138">
        <v>15130</v>
      </c>
      <c r="G108" s="138">
        <v>15100</v>
      </c>
      <c r="H108" s="138">
        <v>15100</v>
      </c>
      <c r="I108" s="138">
        <v>15100</v>
      </c>
      <c r="J108" s="139">
        <v>30300</v>
      </c>
      <c r="K108" s="28"/>
      <c r="L108" s="28"/>
      <c r="M108" s="28"/>
    </row>
    <row r="109" spans="1:13" ht="15.75" hidden="1">
      <c r="A109" s="159" t="s">
        <v>65</v>
      </c>
      <c r="B109" s="138"/>
      <c r="C109" s="138"/>
      <c r="D109" s="138"/>
      <c r="E109" s="138"/>
      <c r="F109" s="138"/>
      <c r="G109" s="138"/>
      <c r="H109" s="138"/>
      <c r="I109" s="138"/>
      <c r="J109" s="139"/>
      <c r="K109" s="28"/>
      <c r="L109" s="28"/>
      <c r="M109" s="28"/>
    </row>
    <row r="110" spans="1:13" ht="15.75" hidden="1">
      <c r="A110" s="159" t="s">
        <v>66</v>
      </c>
      <c r="B110" s="138"/>
      <c r="C110" s="138"/>
      <c r="D110" s="138"/>
      <c r="E110" s="138"/>
      <c r="F110" s="138"/>
      <c r="G110" s="138"/>
      <c r="H110" s="138"/>
      <c r="I110" s="138"/>
      <c r="J110" s="139"/>
      <c r="K110" s="28"/>
      <c r="L110" s="28"/>
      <c r="M110" s="28"/>
    </row>
    <row r="111" spans="1:13" ht="15.75">
      <c r="A111" s="159" t="s">
        <v>328</v>
      </c>
      <c r="B111" s="138"/>
      <c r="C111" s="138"/>
      <c r="D111" s="138"/>
      <c r="E111" s="138">
        <f>40000*0.7563</f>
        <v>30252</v>
      </c>
      <c r="F111" s="138">
        <v>30250</v>
      </c>
      <c r="G111" s="138"/>
      <c r="H111" s="138"/>
      <c r="I111" s="138"/>
      <c r="J111" s="139"/>
      <c r="K111" s="28"/>
      <c r="L111" s="28"/>
      <c r="M111" s="28"/>
    </row>
    <row r="112" spans="1:13" ht="15.75">
      <c r="A112" s="159" t="s">
        <v>68</v>
      </c>
      <c r="B112" s="138"/>
      <c r="C112" s="138"/>
      <c r="D112" s="138"/>
      <c r="E112" s="138">
        <f>40000*0.7563</f>
        <v>30252</v>
      </c>
      <c r="F112" s="138">
        <v>30250</v>
      </c>
      <c r="G112" s="138">
        <v>33300</v>
      </c>
      <c r="H112" s="138">
        <v>34800</v>
      </c>
      <c r="I112" s="138">
        <v>36300</v>
      </c>
      <c r="J112" s="139">
        <v>37800</v>
      </c>
      <c r="K112" s="28"/>
      <c r="L112" s="28"/>
      <c r="M112" s="28"/>
    </row>
    <row r="113" spans="1:13" ht="15.75">
      <c r="A113" s="165" t="s">
        <v>69</v>
      </c>
      <c r="B113" s="138"/>
      <c r="C113" s="138"/>
      <c r="D113" s="138"/>
      <c r="E113" s="138"/>
      <c r="F113" s="138"/>
      <c r="G113" s="138"/>
      <c r="H113" s="138"/>
      <c r="I113" s="138"/>
      <c r="J113" s="139"/>
      <c r="K113" s="28"/>
      <c r="L113" s="28"/>
      <c r="M113" s="28"/>
    </row>
    <row r="114" spans="1:13" ht="15.75">
      <c r="A114" s="159" t="s">
        <v>351</v>
      </c>
      <c r="B114" s="138"/>
      <c r="C114" s="138"/>
      <c r="D114" s="138"/>
      <c r="E114" s="138">
        <f>29774.65</f>
        <v>29774.65</v>
      </c>
      <c r="F114" s="138">
        <v>35000</v>
      </c>
      <c r="G114" s="138"/>
      <c r="H114" s="138"/>
      <c r="I114" s="138"/>
      <c r="J114" s="139"/>
      <c r="K114" s="28"/>
      <c r="L114" s="28"/>
      <c r="M114" s="28"/>
    </row>
    <row r="115" spans="1:13" ht="15.75">
      <c r="A115" s="159" t="s">
        <v>352</v>
      </c>
      <c r="B115" s="138">
        <v>12465</v>
      </c>
      <c r="C115" s="138">
        <v>25000</v>
      </c>
      <c r="D115" s="138">
        <f>46078.44+8630</f>
        <v>54708.44</v>
      </c>
      <c r="E115" s="138"/>
      <c r="F115" s="138">
        <v>25000</v>
      </c>
      <c r="G115" s="138">
        <v>25000</v>
      </c>
      <c r="H115" s="138">
        <v>25000</v>
      </c>
      <c r="I115" s="138">
        <v>25000</v>
      </c>
      <c r="J115" s="139">
        <v>25000</v>
      </c>
      <c r="K115" s="28"/>
      <c r="L115" s="28"/>
      <c r="M115" s="28"/>
    </row>
    <row r="116" spans="1:13" ht="15.75" hidden="1">
      <c r="A116" s="160" t="s">
        <v>70</v>
      </c>
      <c r="B116" s="138"/>
      <c r="C116" s="138">
        <v>34500</v>
      </c>
      <c r="D116" s="138"/>
      <c r="E116" s="138"/>
      <c r="F116" s="138"/>
      <c r="G116" s="138"/>
      <c r="H116" s="138"/>
      <c r="I116" s="138"/>
      <c r="J116" s="139"/>
      <c r="K116" s="28"/>
      <c r="L116" s="28"/>
      <c r="M116" s="28"/>
    </row>
    <row r="117" spans="1:13" ht="15.75">
      <c r="A117" s="159" t="s">
        <v>333</v>
      </c>
      <c r="B117" s="138">
        <v>7401.41</v>
      </c>
      <c r="C117" s="138"/>
      <c r="D117" s="138"/>
      <c r="E117" s="138">
        <v>2213.3</v>
      </c>
      <c r="F117" s="138">
        <v>2350</v>
      </c>
      <c r="G117" s="138"/>
      <c r="H117" s="138"/>
      <c r="I117" s="138">
        <v>1100</v>
      </c>
      <c r="J117" s="139"/>
      <c r="K117" s="28"/>
      <c r="L117" s="28"/>
      <c r="M117" s="28"/>
    </row>
    <row r="118" spans="1:13" ht="15.75">
      <c r="A118" s="165" t="s">
        <v>71</v>
      </c>
      <c r="B118" s="138"/>
      <c r="C118" s="138"/>
      <c r="D118" s="138"/>
      <c r="E118" s="138"/>
      <c r="F118" s="138"/>
      <c r="G118" s="138"/>
      <c r="H118" s="138"/>
      <c r="I118" s="138"/>
      <c r="J118" s="139"/>
      <c r="K118" s="28"/>
      <c r="L118" s="28"/>
      <c r="M118" s="28"/>
    </row>
    <row r="119" spans="1:13" ht="15.75">
      <c r="A119" s="159" t="s">
        <v>353</v>
      </c>
      <c r="B119" s="138">
        <v>40410.65</v>
      </c>
      <c r="C119" s="138">
        <v>40700</v>
      </c>
      <c r="D119" s="138">
        <v>38684.16</v>
      </c>
      <c r="E119" s="138">
        <v>82403.42</v>
      </c>
      <c r="F119" s="138">
        <v>83000</v>
      </c>
      <c r="G119" s="138">
        <v>42600</v>
      </c>
      <c r="H119" s="138">
        <v>43700</v>
      </c>
      <c r="I119" s="138">
        <v>44800</v>
      </c>
      <c r="J119" s="139">
        <v>45900</v>
      </c>
      <c r="K119" s="28"/>
      <c r="L119" s="28"/>
      <c r="M119" s="28"/>
    </row>
    <row r="120" spans="1:13" ht="15.75">
      <c r="A120" s="159" t="s">
        <v>333</v>
      </c>
      <c r="B120" s="138">
        <v>646.33</v>
      </c>
      <c r="C120" s="138"/>
      <c r="D120" s="138"/>
      <c r="E120" s="138"/>
      <c r="F120" s="138"/>
      <c r="G120" s="138">
        <v>1500</v>
      </c>
      <c r="H120" s="138"/>
      <c r="I120" s="138">
        <v>650</v>
      </c>
      <c r="J120" s="139"/>
      <c r="K120" s="28"/>
      <c r="L120" s="28"/>
      <c r="M120" s="28"/>
    </row>
    <row r="121" spans="1:13" ht="15.75">
      <c r="A121" s="165" t="s">
        <v>72</v>
      </c>
      <c r="B121" s="138"/>
      <c r="C121" s="138"/>
      <c r="D121" s="138"/>
      <c r="E121" s="138"/>
      <c r="F121" s="138"/>
      <c r="G121" s="138"/>
      <c r="H121" s="138"/>
      <c r="I121" s="138"/>
      <c r="J121" s="139"/>
      <c r="K121" s="28"/>
      <c r="L121" s="28"/>
      <c r="M121" s="28"/>
    </row>
    <row r="122" spans="1:13" ht="15.75">
      <c r="A122" s="160" t="s">
        <v>354</v>
      </c>
      <c r="B122" s="138">
        <v>88913.25</v>
      </c>
      <c r="C122" s="138">
        <v>97500</v>
      </c>
      <c r="D122" s="138">
        <v>99548.04</v>
      </c>
      <c r="E122" s="138"/>
      <c r="F122" s="138">
        <v>67500</v>
      </c>
      <c r="G122" s="138">
        <v>70000</v>
      </c>
      <c r="H122" s="138">
        <v>70000</v>
      </c>
      <c r="I122" s="138">
        <v>70000</v>
      </c>
      <c r="J122" s="139">
        <v>70000</v>
      </c>
      <c r="K122" s="28"/>
      <c r="L122" s="28"/>
      <c r="M122" s="28"/>
    </row>
    <row r="123" spans="1:13" ht="15.75">
      <c r="A123" s="160" t="s">
        <v>381</v>
      </c>
      <c r="B123" s="138"/>
      <c r="C123" s="138"/>
      <c r="D123" s="138"/>
      <c r="E123" s="138"/>
      <c r="F123" s="138">
        <v>25000</v>
      </c>
      <c r="G123" s="138"/>
      <c r="H123" s="138"/>
      <c r="I123" s="138"/>
      <c r="J123" s="139"/>
      <c r="K123" s="28"/>
      <c r="L123" s="28"/>
      <c r="M123" s="28"/>
    </row>
    <row r="124" spans="1:13" ht="15.75" hidden="1">
      <c r="A124" s="160" t="s">
        <v>73</v>
      </c>
      <c r="B124" s="138"/>
      <c r="C124" s="138">
        <v>1300</v>
      </c>
      <c r="D124" s="138">
        <v>1071.44</v>
      </c>
      <c r="E124" s="138"/>
      <c r="F124" s="138"/>
      <c r="G124" s="138"/>
      <c r="H124" s="138"/>
      <c r="I124" s="138"/>
      <c r="J124" s="139"/>
      <c r="K124" s="28"/>
      <c r="L124" s="28"/>
      <c r="M124" s="28"/>
    </row>
    <row r="125" spans="1:13" ht="15.75">
      <c r="A125" s="159" t="s">
        <v>333</v>
      </c>
      <c r="B125" s="138">
        <v>1265.76</v>
      </c>
      <c r="C125" s="138">
        <v>3325</v>
      </c>
      <c r="D125" s="138"/>
      <c r="E125" s="138">
        <f>4824.9</f>
        <v>4824.9</v>
      </c>
      <c r="F125" s="138">
        <v>6700</v>
      </c>
      <c r="G125" s="138">
        <v>2600</v>
      </c>
      <c r="H125" s="138">
        <v>3650</v>
      </c>
      <c r="I125" s="138">
        <v>1300</v>
      </c>
      <c r="J125" s="139"/>
      <c r="K125" s="28"/>
      <c r="L125" s="28"/>
      <c r="M125" s="28"/>
    </row>
    <row r="126" spans="1:13" ht="15.75">
      <c r="A126" s="160"/>
      <c r="B126" s="138"/>
      <c r="C126" s="138"/>
      <c r="D126" s="138"/>
      <c r="E126" s="138"/>
      <c r="F126" s="138"/>
      <c r="G126" s="138"/>
      <c r="H126" s="138"/>
      <c r="I126" s="138"/>
      <c r="J126" s="139"/>
      <c r="K126" s="28"/>
      <c r="L126" s="28"/>
      <c r="M126" s="28"/>
    </row>
    <row r="127" spans="1:13" ht="15.75">
      <c r="A127" s="158" t="s">
        <v>74</v>
      </c>
      <c r="B127" s="138"/>
      <c r="C127" s="138"/>
      <c r="D127" s="138"/>
      <c r="E127" s="138"/>
      <c r="F127" s="138"/>
      <c r="G127" s="138"/>
      <c r="H127" s="138"/>
      <c r="I127" s="138"/>
      <c r="J127" s="139"/>
      <c r="K127" s="28"/>
      <c r="L127" s="28"/>
      <c r="M127" s="28"/>
    </row>
    <row r="128" spans="1:13" ht="15.75">
      <c r="A128" s="165" t="s">
        <v>75</v>
      </c>
      <c r="B128" s="138"/>
      <c r="C128" s="138"/>
      <c r="D128" s="138"/>
      <c r="E128" s="138"/>
      <c r="F128" s="138"/>
      <c r="G128" s="138"/>
      <c r="H128" s="138"/>
      <c r="I128" s="138"/>
      <c r="J128" s="139"/>
      <c r="K128" s="28"/>
      <c r="L128" s="28"/>
      <c r="M128" s="28"/>
    </row>
    <row r="129" spans="1:13" ht="15.75">
      <c r="A129" s="159" t="s">
        <v>333</v>
      </c>
      <c r="B129" s="138"/>
      <c r="C129" s="138"/>
      <c r="D129" s="138"/>
      <c r="E129" s="138"/>
      <c r="F129" s="138">
        <v>1350</v>
      </c>
      <c r="G129" s="138"/>
      <c r="H129" s="138">
        <v>1500</v>
      </c>
      <c r="I129" s="138"/>
      <c r="J129" s="139"/>
      <c r="K129" s="28"/>
      <c r="L129" s="28"/>
      <c r="M129" s="28"/>
    </row>
    <row r="130" spans="1:13" ht="15.75">
      <c r="A130" s="165" t="s">
        <v>76</v>
      </c>
      <c r="B130" s="138"/>
      <c r="C130" s="138"/>
      <c r="D130" s="138"/>
      <c r="E130" s="138"/>
      <c r="F130" s="138"/>
      <c r="G130" s="138"/>
      <c r="H130" s="138"/>
      <c r="I130" s="138"/>
      <c r="J130" s="139"/>
      <c r="K130" s="28"/>
      <c r="L130" s="28"/>
      <c r="M130" s="28"/>
    </row>
    <row r="131" spans="1:13" ht="15.75" hidden="1">
      <c r="A131" s="160" t="s">
        <v>77</v>
      </c>
      <c r="B131" s="138"/>
      <c r="C131" s="138">
        <v>5180</v>
      </c>
      <c r="D131" s="138"/>
      <c r="E131" s="138"/>
      <c r="F131" s="138"/>
      <c r="G131" s="138"/>
      <c r="H131" s="138"/>
      <c r="I131" s="138"/>
      <c r="J131" s="139"/>
      <c r="K131" s="28"/>
      <c r="L131" s="28"/>
      <c r="M131" s="28"/>
    </row>
    <row r="132" spans="1:13" ht="15.75" hidden="1">
      <c r="A132" s="159" t="s">
        <v>78</v>
      </c>
      <c r="B132" s="138"/>
      <c r="C132" s="138">
        <v>4000</v>
      </c>
      <c r="D132" s="138"/>
      <c r="E132" s="138"/>
      <c r="F132" s="138"/>
      <c r="G132" s="138"/>
      <c r="H132" s="138"/>
      <c r="I132" s="138"/>
      <c r="J132" s="139"/>
      <c r="K132" s="28"/>
      <c r="L132" s="28"/>
      <c r="M132" s="28"/>
    </row>
    <row r="133" spans="1:13" ht="15.75">
      <c r="A133" s="159" t="s">
        <v>333</v>
      </c>
      <c r="B133" s="138">
        <v>3184.28</v>
      </c>
      <c r="C133" s="138"/>
      <c r="D133" s="138"/>
      <c r="E133" s="138">
        <v>1414.76</v>
      </c>
      <c r="F133" s="138"/>
      <c r="G133" s="138"/>
      <c r="H133" s="138">
        <v>650</v>
      </c>
      <c r="I133" s="138">
        <v>3050</v>
      </c>
      <c r="J133" s="139"/>
      <c r="K133" s="28"/>
      <c r="L133" s="28"/>
      <c r="M133" s="28"/>
    </row>
    <row r="134" spans="1:13" ht="15.75" hidden="1">
      <c r="A134" s="159" t="s">
        <v>212</v>
      </c>
      <c r="B134" s="138"/>
      <c r="C134" s="138"/>
      <c r="D134" s="138">
        <v>125</v>
      </c>
      <c r="E134" s="138"/>
      <c r="F134" s="138"/>
      <c r="G134" s="138"/>
      <c r="H134" s="138"/>
      <c r="I134" s="138"/>
      <c r="J134" s="139"/>
      <c r="K134" s="28"/>
      <c r="L134" s="28"/>
      <c r="M134" s="28"/>
    </row>
    <row r="135" spans="1:13" ht="15.75">
      <c r="A135" s="167" t="s">
        <v>79</v>
      </c>
      <c r="B135" s="138"/>
      <c r="C135" s="138"/>
      <c r="D135" s="138"/>
      <c r="E135" s="138"/>
      <c r="F135" s="138"/>
      <c r="G135" s="138"/>
      <c r="H135" s="138"/>
      <c r="I135" s="138"/>
      <c r="J135" s="139"/>
      <c r="K135" s="28"/>
      <c r="L135" s="28"/>
      <c r="M135" s="28"/>
    </row>
    <row r="136" spans="1:13" ht="15.75">
      <c r="A136" s="159" t="s">
        <v>355</v>
      </c>
      <c r="B136" s="138"/>
      <c r="C136" s="138"/>
      <c r="D136" s="138"/>
      <c r="E136" s="138">
        <v>232708</v>
      </c>
      <c r="F136" s="138">
        <v>224000</v>
      </c>
      <c r="G136" s="138"/>
      <c r="H136" s="138"/>
      <c r="I136" s="138"/>
      <c r="J136" s="139"/>
      <c r="K136" s="28"/>
      <c r="L136" s="28"/>
      <c r="M136" s="28"/>
    </row>
    <row r="137" spans="1:13" ht="15.75">
      <c r="A137" s="159" t="s">
        <v>356</v>
      </c>
      <c r="B137" s="138">
        <f>39722+226495+348.29+97264.77+134991</f>
        <v>498821.06</v>
      </c>
      <c r="C137" s="138">
        <v>420000</v>
      </c>
      <c r="D137" s="138">
        <f>193710.07+214186+199.98</f>
        <v>408096.05</v>
      </c>
      <c r="F137" s="138">
        <v>215000</v>
      </c>
      <c r="G137" s="138">
        <v>430000</v>
      </c>
      <c r="H137" s="138"/>
      <c r="I137" s="138"/>
      <c r="J137" s="139"/>
      <c r="K137" s="28"/>
      <c r="L137" s="28"/>
      <c r="M137" s="28"/>
    </row>
    <row r="138" spans="1:13" ht="15.75">
      <c r="A138" s="159" t="s">
        <v>357</v>
      </c>
      <c r="B138" s="138"/>
      <c r="C138" s="138"/>
      <c r="D138" s="138"/>
      <c r="E138" s="138">
        <v>48225.31</v>
      </c>
      <c r="F138" s="138">
        <v>45000</v>
      </c>
      <c r="G138" s="138"/>
      <c r="H138" s="138"/>
      <c r="I138" s="138"/>
      <c r="J138" s="139"/>
      <c r="K138" s="28"/>
      <c r="L138" s="28"/>
      <c r="M138" s="28"/>
    </row>
    <row r="139" spans="1:13" ht="15.75" hidden="1">
      <c r="A139" s="159" t="s">
        <v>80</v>
      </c>
      <c r="B139" s="138"/>
      <c r="C139" s="138">
        <v>231000</v>
      </c>
      <c r="D139" s="138">
        <f>112938+107093+316.56</f>
        <v>220347.56</v>
      </c>
      <c r="E139" s="138"/>
      <c r="F139" s="138"/>
      <c r="G139" s="138"/>
      <c r="H139" s="138"/>
      <c r="I139" s="138"/>
      <c r="J139" s="139"/>
      <c r="K139" s="28"/>
      <c r="L139" s="28"/>
      <c r="M139" s="28"/>
    </row>
    <row r="140" spans="1:13" ht="15.75">
      <c r="A140" s="159" t="s">
        <v>81</v>
      </c>
      <c r="B140" s="138"/>
      <c r="C140" s="138">
        <v>62500</v>
      </c>
      <c r="D140" s="138">
        <f>61890.13+340.02+190.36</f>
        <v>62420.509999999995</v>
      </c>
      <c r="E140" s="138">
        <v>71847</v>
      </c>
      <c r="F140" s="138">
        <v>65500</v>
      </c>
      <c r="G140" s="138"/>
      <c r="H140" s="138"/>
      <c r="I140" s="138"/>
      <c r="J140" s="139"/>
      <c r="K140" s="28"/>
      <c r="L140" s="28"/>
      <c r="M140" s="28"/>
    </row>
    <row r="141" spans="1:13" ht="15.75">
      <c r="A141" s="159" t="s">
        <v>358</v>
      </c>
      <c r="B141" s="138"/>
      <c r="C141" s="138"/>
      <c r="D141" s="138"/>
      <c r="E141" s="138">
        <v>33069.84</v>
      </c>
      <c r="F141" s="138">
        <v>32000</v>
      </c>
      <c r="G141" s="138"/>
      <c r="H141" s="138"/>
      <c r="I141" s="138"/>
      <c r="J141" s="139"/>
      <c r="K141" s="28"/>
      <c r="L141" s="28"/>
      <c r="M141" s="28"/>
    </row>
    <row r="142" spans="1:13" ht="15.75">
      <c r="A142" s="159" t="s">
        <v>359</v>
      </c>
      <c r="B142" s="138"/>
      <c r="C142" s="138"/>
      <c r="D142" s="138"/>
      <c r="E142" s="138"/>
      <c r="F142" s="138">
        <v>50200</v>
      </c>
      <c r="G142" s="138"/>
      <c r="H142" s="138"/>
      <c r="I142" s="138"/>
      <c r="J142" s="139"/>
      <c r="K142" s="28"/>
      <c r="L142" s="28"/>
      <c r="M142" s="28"/>
    </row>
    <row r="143" spans="1:13" ht="15.75">
      <c r="A143" s="159" t="s">
        <v>360</v>
      </c>
      <c r="B143" s="138"/>
      <c r="C143" s="138"/>
      <c r="D143" s="138"/>
      <c r="E143" s="138">
        <v>4389.58</v>
      </c>
      <c r="F143" s="138">
        <v>8300</v>
      </c>
      <c r="G143" s="138"/>
      <c r="H143" s="138"/>
      <c r="I143" s="138"/>
      <c r="J143" s="139"/>
      <c r="K143" s="28"/>
      <c r="L143" s="28"/>
      <c r="M143" s="28"/>
    </row>
    <row r="144" spans="1:13" ht="15.75">
      <c r="A144" s="159" t="s">
        <v>361</v>
      </c>
      <c r="B144" s="138"/>
      <c r="C144" s="138"/>
      <c r="D144" s="138"/>
      <c r="E144" s="138"/>
      <c r="F144" s="138"/>
      <c r="G144" s="138">
        <v>160000</v>
      </c>
      <c r="H144" s="138"/>
      <c r="I144" s="138"/>
      <c r="J144" s="139"/>
      <c r="K144" s="28"/>
      <c r="L144" s="28"/>
      <c r="M144" s="28"/>
    </row>
    <row r="145" spans="1:13" ht="15.75">
      <c r="A145" s="159" t="s">
        <v>362</v>
      </c>
      <c r="B145" s="138"/>
      <c r="C145" s="138"/>
      <c r="D145" s="138"/>
      <c r="E145" s="138"/>
      <c r="F145" s="138"/>
      <c r="G145" s="138">
        <v>30000</v>
      </c>
      <c r="H145" s="138"/>
      <c r="I145" s="138"/>
      <c r="J145" s="139"/>
      <c r="K145" s="28"/>
      <c r="L145" s="28"/>
      <c r="M145" s="28"/>
    </row>
    <row r="146" spans="1:13" ht="15.75">
      <c r="A146" s="159" t="s">
        <v>363</v>
      </c>
      <c r="B146" s="138"/>
      <c r="C146" s="138"/>
      <c r="D146" s="138"/>
      <c r="E146" s="138"/>
      <c r="F146" s="138"/>
      <c r="G146" s="138"/>
      <c r="H146" s="138"/>
      <c r="I146" s="138"/>
      <c r="J146" s="139">
        <v>270000</v>
      </c>
      <c r="K146" s="28"/>
      <c r="L146" s="28"/>
      <c r="M146" s="28"/>
    </row>
    <row r="147" spans="1:13" ht="15.75" hidden="1">
      <c r="A147" s="159" t="s">
        <v>82</v>
      </c>
      <c r="B147" s="138">
        <v>44922.1</v>
      </c>
      <c r="C147" s="138"/>
      <c r="D147" s="138"/>
      <c r="E147" s="138"/>
      <c r="F147" s="138"/>
      <c r="G147" s="138"/>
      <c r="H147" s="138"/>
      <c r="I147" s="138"/>
      <c r="J147" s="139"/>
      <c r="K147" s="28"/>
      <c r="L147" s="28"/>
      <c r="M147" s="28"/>
    </row>
    <row r="148" spans="1:13" ht="15.75">
      <c r="A148" s="159" t="s">
        <v>333</v>
      </c>
      <c r="B148" s="138">
        <v>1938.99</v>
      </c>
      <c r="C148" s="138"/>
      <c r="D148" s="138"/>
      <c r="E148" s="138"/>
      <c r="F148" s="138"/>
      <c r="G148" s="138"/>
      <c r="H148" s="138"/>
      <c r="I148" s="138">
        <v>1300</v>
      </c>
      <c r="J148" s="139"/>
      <c r="K148" s="28"/>
      <c r="L148" s="28"/>
      <c r="M148" s="28"/>
    </row>
    <row r="149" spans="1:13" ht="15.75">
      <c r="A149" s="167" t="s">
        <v>83</v>
      </c>
      <c r="B149" s="138"/>
      <c r="C149" s="138"/>
      <c r="D149" s="138"/>
      <c r="E149" s="138"/>
      <c r="F149" s="138"/>
      <c r="G149" s="138"/>
      <c r="H149" s="138"/>
      <c r="I149" s="138"/>
      <c r="J149" s="139"/>
      <c r="K149" s="28"/>
      <c r="L149" s="28"/>
      <c r="M149" s="28"/>
    </row>
    <row r="150" spans="1:13" ht="15.75">
      <c r="A150" s="159" t="s">
        <v>364</v>
      </c>
      <c r="B150" s="138"/>
      <c r="C150" s="138"/>
      <c r="D150" s="138"/>
      <c r="E150" s="138">
        <f>107593.04+1096.46-453+938.06</f>
        <v>109174.56</v>
      </c>
      <c r="F150" s="138">
        <v>115000</v>
      </c>
      <c r="G150" s="138"/>
      <c r="H150" s="138"/>
      <c r="I150" s="138"/>
      <c r="J150" s="139"/>
      <c r="K150" s="28"/>
      <c r="L150" s="28"/>
      <c r="M150" s="28"/>
    </row>
    <row r="151" spans="1:13" ht="15.75">
      <c r="A151" s="159" t="s">
        <v>365</v>
      </c>
      <c r="B151" s="138"/>
      <c r="C151" s="138"/>
      <c r="D151" s="138"/>
      <c r="E151" s="138"/>
      <c r="F151" s="138">
        <v>164000</v>
      </c>
      <c r="G151" s="138"/>
      <c r="H151" s="138"/>
      <c r="I151" s="138"/>
      <c r="J151" s="139"/>
      <c r="K151" s="28"/>
      <c r="L151" s="28"/>
      <c r="M151" s="28"/>
    </row>
    <row r="152" spans="1:13" ht="15.75">
      <c r="A152" s="159" t="s">
        <v>366</v>
      </c>
      <c r="B152" s="138"/>
      <c r="C152" s="138"/>
      <c r="D152" s="138"/>
      <c r="E152" s="138"/>
      <c r="F152" s="138">
        <v>65500</v>
      </c>
      <c r="G152" s="138"/>
      <c r="H152" s="138"/>
      <c r="I152" s="138">
        <v>65000</v>
      </c>
      <c r="J152" s="139"/>
      <c r="K152" s="28"/>
      <c r="L152" s="28"/>
      <c r="M152" s="28"/>
    </row>
    <row r="153" spans="1:13" ht="15.75">
      <c r="A153" s="159" t="s">
        <v>89</v>
      </c>
      <c r="B153" s="138">
        <f>51764.32</f>
        <v>51764.32</v>
      </c>
      <c r="C153" s="138">
        <v>51800</v>
      </c>
      <c r="D153" s="138">
        <v>51764.26</v>
      </c>
      <c r="E153" s="138">
        <f>54375.7+34178.14+360.33</f>
        <v>88914.17</v>
      </c>
      <c r="F153" s="138">
        <v>56000</v>
      </c>
      <c r="G153" s="138"/>
      <c r="H153" s="138">
        <v>50000</v>
      </c>
      <c r="I153" s="138">
        <v>30000</v>
      </c>
      <c r="J153" s="139"/>
      <c r="K153" s="28"/>
      <c r="L153" s="28"/>
      <c r="M153" s="28"/>
    </row>
    <row r="154" spans="1:13" ht="15.75">
      <c r="A154" s="159" t="s">
        <v>367</v>
      </c>
      <c r="B154" s="138"/>
      <c r="C154" s="138"/>
      <c r="D154" s="138"/>
      <c r="E154" s="138">
        <f>11020+100+100+325</f>
        <v>11545</v>
      </c>
      <c r="F154" s="138">
        <v>11500</v>
      </c>
      <c r="G154" s="138"/>
      <c r="H154" s="138"/>
      <c r="I154" s="138"/>
      <c r="J154" s="139"/>
      <c r="K154" s="28"/>
      <c r="L154" s="28"/>
      <c r="M154" s="28"/>
    </row>
    <row r="155" spans="1:13" ht="15.75">
      <c r="A155" s="159" t="s">
        <v>368</v>
      </c>
      <c r="B155" s="138"/>
      <c r="C155" s="138"/>
      <c r="D155" s="138"/>
      <c r="E155" s="138">
        <v>7291.2</v>
      </c>
      <c r="F155" s="138">
        <v>8000</v>
      </c>
      <c r="G155" s="138"/>
      <c r="H155" s="138"/>
      <c r="I155" s="138"/>
      <c r="J155" s="139"/>
      <c r="K155" s="28"/>
      <c r="L155" s="28"/>
      <c r="M155" s="28"/>
    </row>
    <row r="156" spans="1:13" ht="15.75">
      <c r="A156" s="159" t="s">
        <v>369</v>
      </c>
      <c r="B156" s="138"/>
      <c r="C156" s="138"/>
      <c r="D156" s="138"/>
      <c r="E156" s="138">
        <v>5077.8</v>
      </c>
      <c r="F156" s="138">
        <v>4900</v>
      </c>
      <c r="G156" s="138"/>
      <c r="H156" s="138"/>
      <c r="I156" s="138"/>
      <c r="J156" s="139"/>
      <c r="K156" s="28"/>
      <c r="L156" s="28"/>
      <c r="M156" s="28"/>
    </row>
    <row r="157" spans="1:13" ht="15.75">
      <c r="A157" s="159" t="s">
        <v>370</v>
      </c>
      <c r="B157" s="138"/>
      <c r="C157" s="138"/>
      <c r="D157" s="138"/>
      <c r="E157" s="138"/>
      <c r="F157" s="138"/>
      <c r="G157" s="138">
        <v>80000</v>
      </c>
      <c r="H157" s="138"/>
      <c r="I157" s="138"/>
      <c r="J157" s="139"/>
      <c r="K157" s="28"/>
      <c r="L157" s="28"/>
      <c r="M157" s="28"/>
    </row>
    <row r="158" spans="1:13" ht="15.75">
      <c r="A158" s="159" t="s">
        <v>371</v>
      </c>
      <c r="B158" s="138"/>
      <c r="C158" s="138"/>
      <c r="D158" s="138"/>
      <c r="E158" s="138"/>
      <c r="F158" s="138"/>
      <c r="G158" s="138">
        <f>150000-86750</f>
        <v>63250</v>
      </c>
      <c r="H158" s="138"/>
      <c r="I158" s="138"/>
      <c r="J158" s="139"/>
      <c r="K158" s="28"/>
      <c r="L158" s="28"/>
      <c r="M158" s="28"/>
    </row>
    <row r="159" spans="1:13" ht="15.75">
      <c r="A159" s="159" t="s">
        <v>372</v>
      </c>
      <c r="B159" s="138"/>
      <c r="C159" s="138"/>
      <c r="D159" s="138"/>
      <c r="E159" s="138"/>
      <c r="F159" s="138"/>
      <c r="G159" s="138">
        <v>32000</v>
      </c>
      <c r="H159" s="138"/>
      <c r="I159" s="138"/>
      <c r="J159" s="139"/>
      <c r="K159" s="28"/>
      <c r="L159" s="28"/>
      <c r="M159" s="28"/>
    </row>
    <row r="160" spans="1:13" ht="15.75">
      <c r="A160" s="159" t="s">
        <v>373</v>
      </c>
      <c r="B160" s="138"/>
      <c r="C160" s="138"/>
      <c r="D160" s="138"/>
      <c r="E160" s="138"/>
      <c r="F160" s="138"/>
      <c r="G160" s="138">
        <v>90000</v>
      </c>
      <c r="H160" s="138"/>
      <c r="I160" s="138"/>
      <c r="J160" s="139"/>
      <c r="K160" s="28"/>
      <c r="L160" s="28"/>
      <c r="M160" s="28"/>
    </row>
    <row r="161" spans="1:13" ht="15.75">
      <c r="A161" s="159" t="s">
        <v>374</v>
      </c>
      <c r="B161" s="138"/>
      <c r="C161" s="138"/>
      <c r="D161" s="138"/>
      <c r="E161" s="138"/>
      <c r="F161" s="138"/>
      <c r="G161" s="138"/>
      <c r="H161" s="138">
        <v>160000</v>
      </c>
      <c r="I161" s="138"/>
      <c r="J161" s="139"/>
      <c r="K161" s="28"/>
      <c r="L161" s="28"/>
      <c r="M161" s="28"/>
    </row>
    <row r="162" spans="1:13" ht="15.75">
      <c r="A162" s="159" t="s">
        <v>375</v>
      </c>
      <c r="B162" s="138"/>
      <c r="C162" s="138"/>
      <c r="D162" s="138"/>
      <c r="E162" s="138"/>
      <c r="F162" s="138"/>
      <c r="G162" s="138"/>
      <c r="H162" s="138">
        <v>18000</v>
      </c>
      <c r="I162" s="138"/>
      <c r="J162" s="139"/>
      <c r="K162" s="28"/>
      <c r="L162" s="28"/>
      <c r="M162" s="28"/>
    </row>
    <row r="163" spans="1:13" ht="15.75">
      <c r="A163" s="159" t="s">
        <v>376</v>
      </c>
      <c r="B163" s="138"/>
      <c r="C163" s="138"/>
      <c r="D163" s="138"/>
      <c r="E163" s="138"/>
      <c r="F163" s="138"/>
      <c r="G163" s="138"/>
      <c r="H163" s="138"/>
      <c r="I163" s="138">
        <v>60000</v>
      </c>
      <c r="J163" s="139"/>
      <c r="K163" s="28"/>
      <c r="L163" s="28"/>
      <c r="M163" s="28"/>
    </row>
    <row r="164" spans="1:13" ht="15.75">
      <c r="A164" s="159" t="s">
        <v>377</v>
      </c>
      <c r="B164" s="138"/>
      <c r="C164" s="138"/>
      <c r="D164" s="138"/>
      <c r="E164" s="138"/>
      <c r="F164" s="138"/>
      <c r="G164" s="138"/>
      <c r="H164" s="138"/>
      <c r="I164" s="138">
        <v>30000</v>
      </c>
      <c r="J164" s="139"/>
      <c r="K164" s="28"/>
      <c r="L164" s="28"/>
      <c r="M164" s="28"/>
    </row>
    <row r="165" spans="1:13" ht="15.75">
      <c r="A165" s="159" t="s">
        <v>378</v>
      </c>
      <c r="B165" s="138"/>
      <c r="C165" s="138"/>
      <c r="D165" s="138"/>
      <c r="E165" s="138"/>
      <c r="F165" s="138"/>
      <c r="G165" s="138"/>
      <c r="H165" s="138"/>
      <c r="I165" s="138"/>
      <c r="J165" s="139">
        <v>6000</v>
      </c>
      <c r="K165" s="28"/>
      <c r="L165" s="28"/>
      <c r="M165" s="28"/>
    </row>
    <row r="166" spans="1:13" ht="15.75" hidden="1">
      <c r="A166" s="159" t="s">
        <v>84</v>
      </c>
      <c r="B166" s="138"/>
      <c r="C166" s="138">
        <v>16450</v>
      </c>
      <c r="D166" s="138">
        <v>16450</v>
      </c>
      <c r="E166" s="138"/>
      <c r="F166" s="138"/>
      <c r="G166" s="138"/>
      <c r="H166" s="138"/>
      <c r="I166" s="138"/>
      <c r="J166" s="139"/>
      <c r="K166" s="28"/>
      <c r="L166" s="28"/>
      <c r="M166" s="28"/>
    </row>
    <row r="167" spans="1:13" ht="15.75" hidden="1">
      <c r="A167" s="159" t="s">
        <v>85</v>
      </c>
      <c r="B167" s="138"/>
      <c r="C167" s="138">
        <v>41900</v>
      </c>
      <c r="D167" s="138">
        <f>36637.86+10975</f>
        <v>47612.86</v>
      </c>
      <c r="E167" s="138"/>
      <c r="F167" s="138"/>
      <c r="G167" s="138"/>
      <c r="H167" s="138"/>
      <c r="I167" s="138"/>
      <c r="J167" s="139"/>
      <c r="K167" s="28"/>
      <c r="L167" s="28"/>
      <c r="M167" s="28"/>
    </row>
    <row r="168" spans="1:13" ht="15.75" hidden="1">
      <c r="A168" s="159" t="s">
        <v>86</v>
      </c>
      <c r="B168" s="138">
        <f>137829.9+8810.41</f>
        <v>146640.31</v>
      </c>
      <c r="C168" s="138">
        <v>73900</v>
      </c>
      <c r="D168" s="138">
        <f>10175+62820.89+500</f>
        <v>73495.89</v>
      </c>
      <c r="E168" s="138"/>
      <c r="F168" s="138"/>
      <c r="G168" s="138"/>
      <c r="H168" s="138"/>
      <c r="I168" s="138"/>
      <c r="J168" s="139"/>
      <c r="K168" s="28"/>
      <c r="L168" s="28"/>
      <c r="M168" s="28"/>
    </row>
    <row r="169" spans="1:13" ht="15.75" hidden="1">
      <c r="A169" s="159" t="s">
        <v>87</v>
      </c>
      <c r="B169" s="138"/>
      <c r="C169" s="138"/>
      <c r="D169" s="138"/>
      <c r="E169" s="138"/>
      <c r="F169" s="138"/>
      <c r="G169" s="138"/>
      <c r="H169" s="138"/>
      <c r="I169" s="138"/>
      <c r="J169" s="139"/>
      <c r="K169" s="28"/>
      <c r="L169" s="28"/>
      <c r="M169" s="28"/>
    </row>
    <row r="170" spans="1:13" ht="15.75" hidden="1">
      <c r="A170" s="159" t="s">
        <v>310</v>
      </c>
      <c r="B170" s="138"/>
      <c r="C170" s="138"/>
      <c r="D170" s="138">
        <f>15488.4+1060.5</f>
        <v>16548.9</v>
      </c>
      <c r="E170" s="138"/>
      <c r="F170" s="138"/>
      <c r="G170" s="138"/>
      <c r="H170" s="138"/>
      <c r="I170" s="138"/>
      <c r="J170" s="139"/>
      <c r="K170" s="28"/>
      <c r="L170" s="28"/>
      <c r="M170" s="28"/>
    </row>
    <row r="171" spans="1:13" ht="15.75" hidden="1">
      <c r="A171" s="159" t="s">
        <v>88</v>
      </c>
      <c r="B171" s="138"/>
      <c r="C171" s="138"/>
      <c r="D171" s="138"/>
      <c r="E171" s="138"/>
      <c r="F171" s="138"/>
      <c r="G171" s="138"/>
      <c r="H171" s="138"/>
      <c r="I171" s="138"/>
      <c r="J171" s="139"/>
      <c r="K171" s="28"/>
      <c r="L171" s="28"/>
      <c r="M171" s="28"/>
    </row>
    <row r="172" spans="1:13" ht="16.5" customHeight="1">
      <c r="A172" s="159" t="s">
        <v>379</v>
      </c>
      <c r="B172" s="138">
        <v>37501.37</v>
      </c>
      <c r="C172" s="138">
        <v>50520</v>
      </c>
      <c r="D172" s="138">
        <f>53985.74+613.87</f>
        <v>54599.61</v>
      </c>
      <c r="E172" s="138"/>
      <c r="F172" s="138"/>
      <c r="G172" s="138"/>
      <c r="H172" s="138"/>
      <c r="I172" s="138"/>
      <c r="J172" s="139">
        <v>50000</v>
      </c>
      <c r="K172" s="28"/>
      <c r="L172" s="28"/>
      <c r="M172" s="28"/>
    </row>
    <row r="173" spans="1:13" ht="15.75">
      <c r="A173" s="159" t="s">
        <v>333</v>
      </c>
      <c r="B173" s="138">
        <f>783.88+646.33</f>
        <v>1430.21</v>
      </c>
      <c r="C173" s="138"/>
      <c r="D173" s="138"/>
      <c r="E173" s="138"/>
      <c r="F173" s="138"/>
      <c r="G173" s="138">
        <v>2150</v>
      </c>
      <c r="H173" s="138"/>
      <c r="I173" s="138">
        <v>650</v>
      </c>
      <c r="J173" s="139"/>
      <c r="K173" s="28"/>
      <c r="L173" s="28"/>
      <c r="M173" s="28"/>
    </row>
    <row r="174" spans="1:13" ht="15.75">
      <c r="A174" s="167" t="s">
        <v>90</v>
      </c>
      <c r="B174" s="138"/>
      <c r="C174" s="138"/>
      <c r="D174" s="138"/>
      <c r="E174" s="138"/>
      <c r="F174" s="138"/>
      <c r="G174" s="138"/>
      <c r="H174" s="138"/>
      <c r="I174" s="138"/>
      <c r="J174" s="139"/>
      <c r="K174" s="28"/>
      <c r="L174" s="28"/>
      <c r="M174" s="28"/>
    </row>
    <row r="175" spans="1:13" ht="15.75">
      <c r="A175" s="159" t="s">
        <v>91</v>
      </c>
      <c r="B175" s="138"/>
      <c r="C175" s="138">
        <v>69000</v>
      </c>
      <c r="D175" s="138">
        <f>34063.07+37447.09</f>
        <v>71510.16</v>
      </c>
      <c r="E175" s="138"/>
      <c r="F175" s="138"/>
      <c r="G175" s="138"/>
      <c r="H175" s="138"/>
      <c r="I175" s="138"/>
      <c r="J175" s="139"/>
      <c r="K175" s="28"/>
      <c r="L175" s="28"/>
      <c r="M175" s="28"/>
    </row>
    <row r="176" spans="1:13" ht="15.75">
      <c r="A176" s="159" t="s">
        <v>333</v>
      </c>
      <c r="B176" s="138">
        <f>125+646.33</f>
        <v>771.33</v>
      </c>
      <c r="C176" s="138"/>
      <c r="D176" s="138"/>
      <c r="E176" s="138"/>
      <c r="F176" s="138"/>
      <c r="G176" s="138"/>
      <c r="H176" s="138">
        <v>1300</v>
      </c>
      <c r="I176" s="138">
        <v>650</v>
      </c>
      <c r="J176" s="139"/>
      <c r="K176" s="28"/>
      <c r="L176" s="28"/>
      <c r="M176" s="28"/>
    </row>
    <row r="177" spans="1:13" ht="15.75">
      <c r="A177" s="167" t="s">
        <v>92</v>
      </c>
      <c r="B177" s="138"/>
      <c r="C177" s="138"/>
      <c r="D177" s="138"/>
      <c r="E177" s="138"/>
      <c r="F177" s="138"/>
      <c r="G177" s="138"/>
      <c r="H177" s="138"/>
      <c r="I177" s="138"/>
      <c r="J177" s="139"/>
      <c r="K177" s="28"/>
      <c r="L177" s="28"/>
      <c r="M177" s="28"/>
    </row>
    <row r="178" spans="1:13" ht="15.75">
      <c r="A178" s="159" t="s">
        <v>380</v>
      </c>
      <c r="B178" s="138"/>
      <c r="C178" s="138">
        <v>80000</v>
      </c>
      <c r="D178" s="138">
        <f>38545.38+36853.48+1616.9+829.57+973.99</f>
        <v>78819.32</v>
      </c>
      <c r="E178" s="138"/>
      <c r="F178" s="138"/>
      <c r="G178" s="138"/>
      <c r="H178" s="138"/>
      <c r="I178" s="138">
        <v>32000</v>
      </c>
      <c r="J178" s="139"/>
      <c r="K178" s="28"/>
      <c r="L178" s="28"/>
      <c r="M178" s="28"/>
    </row>
    <row r="179" spans="1:13" ht="15.75">
      <c r="A179" s="159" t="s">
        <v>333</v>
      </c>
      <c r="B179" s="138"/>
      <c r="C179" s="138"/>
      <c r="D179" s="138"/>
      <c r="E179" s="138">
        <f>2242.36+624.03</f>
        <v>2866.3900000000003</v>
      </c>
      <c r="F179" s="138">
        <v>3250</v>
      </c>
      <c r="G179" s="138"/>
      <c r="H179" s="138">
        <v>3500</v>
      </c>
      <c r="I179" s="138">
        <v>1750</v>
      </c>
      <c r="J179" s="139">
        <v>2200</v>
      </c>
      <c r="K179" s="28"/>
      <c r="L179" s="28"/>
      <c r="M179" s="28"/>
    </row>
    <row r="180" spans="1:13" ht="15.75">
      <c r="A180" s="159" t="s">
        <v>93</v>
      </c>
      <c r="B180" s="138"/>
      <c r="C180" s="138">
        <v>3000</v>
      </c>
      <c r="D180" s="138">
        <v>2227</v>
      </c>
      <c r="E180" s="138">
        <v>2178.72</v>
      </c>
      <c r="F180" s="138"/>
      <c r="G180" s="138"/>
      <c r="H180" s="138"/>
      <c r="I180" s="138"/>
      <c r="J180" s="139"/>
      <c r="K180" s="28"/>
      <c r="L180" s="28"/>
      <c r="M180" s="28"/>
    </row>
    <row r="181" spans="1:13" ht="15.75" hidden="1">
      <c r="A181" s="159" t="s">
        <v>23</v>
      </c>
      <c r="B181" s="138">
        <v>632.88</v>
      </c>
      <c r="C181" s="138">
        <v>650</v>
      </c>
      <c r="D181" s="138">
        <v>626.17</v>
      </c>
      <c r="E181" s="138"/>
      <c r="F181" s="138"/>
      <c r="G181" s="138"/>
      <c r="H181" s="138"/>
      <c r="I181" s="138"/>
      <c r="J181" s="139"/>
      <c r="K181" s="28"/>
      <c r="L181" s="28"/>
      <c r="M181" s="28"/>
    </row>
    <row r="182" spans="1:13" ht="15.75" hidden="1">
      <c r="A182" s="161" t="s">
        <v>94</v>
      </c>
      <c r="B182" s="138"/>
      <c r="C182" s="138">
        <v>2200</v>
      </c>
      <c r="D182" s="138">
        <f>2168+110.09</f>
        <v>2278.09</v>
      </c>
      <c r="E182" s="138"/>
      <c r="F182" s="138"/>
      <c r="G182" s="138"/>
      <c r="H182" s="138"/>
      <c r="I182" s="138"/>
      <c r="J182" s="139"/>
      <c r="K182" s="28"/>
      <c r="L182" s="28"/>
      <c r="M182" s="28"/>
    </row>
    <row r="183" spans="1:13" ht="15.75" hidden="1">
      <c r="A183" s="161" t="s">
        <v>95</v>
      </c>
      <c r="B183" s="138"/>
      <c r="C183" s="138"/>
      <c r="D183" s="138"/>
      <c r="E183" s="138"/>
      <c r="F183" s="138"/>
      <c r="G183" s="138"/>
      <c r="H183" s="138"/>
      <c r="I183" s="138"/>
      <c r="J183" s="139"/>
      <c r="K183" s="28"/>
      <c r="L183" s="28"/>
      <c r="M183" s="28"/>
    </row>
    <row r="184" spans="1:13" ht="15.75">
      <c r="A184" s="167" t="s">
        <v>96</v>
      </c>
      <c r="B184" s="138"/>
      <c r="C184" s="138"/>
      <c r="D184" s="138"/>
      <c r="E184" s="138"/>
      <c r="F184" s="138"/>
      <c r="G184" s="138"/>
      <c r="H184" s="138"/>
      <c r="I184" s="138"/>
      <c r="J184" s="139"/>
      <c r="K184" s="28"/>
      <c r="L184" s="28"/>
      <c r="M184" s="28"/>
    </row>
    <row r="185" spans="1:13" ht="15.75">
      <c r="A185" s="159" t="s">
        <v>333</v>
      </c>
      <c r="B185" s="138"/>
      <c r="C185" s="138"/>
      <c r="D185" s="138"/>
      <c r="E185" s="138"/>
      <c r="F185" s="138"/>
      <c r="G185" s="138"/>
      <c r="H185" s="138">
        <v>1100</v>
      </c>
      <c r="I185" s="138"/>
      <c r="J185" s="139">
        <v>1100</v>
      </c>
      <c r="K185" s="28"/>
      <c r="L185" s="28"/>
      <c r="M185" s="28"/>
    </row>
    <row r="186" spans="1:13" ht="15.75" hidden="1">
      <c r="A186" s="159" t="s">
        <v>97</v>
      </c>
      <c r="B186" s="138"/>
      <c r="C186" s="138">
        <v>3800</v>
      </c>
      <c r="D186" s="138">
        <v>3425</v>
      </c>
      <c r="E186" s="138"/>
      <c r="F186" s="138"/>
      <c r="G186" s="138"/>
      <c r="H186" s="138"/>
      <c r="I186" s="138"/>
      <c r="J186" s="139"/>
      <c r="K186" s="28"/>
      <c r="L186" s="28"/>
      <c r="M186" s="28"/>
    </row>
    <row r="187" spans="1:13" ht="15.75" hidden="1">
      <c r="A187" s="159" t="s">
        <v>98</v>
      </c>
      <c r="B187" s="138"/>
      <c r="C187" s="138">
        <v>1100</v>
      </c>
      <c r="D187" s="138">
        <v>1084</v>
      </c>
      <c r="E187" s="138"/>
      <c r="F187" s="138"/>
      <c r="G187" s="138"/>
      <c r="H187" s="138"/>
      <c r="I187" s="138"/>
      <c r="J187" s="139"/>
      <c r="K187" s="28"/>
      <c r="L187" s="28"/>
      <c r="M187" s="28"/>
    </row>
    <row r="188" spans="1:13" ht="15.75" hidden="1">
      <c r="A188" s="159" t="s">
        <v>99</v>
      </c>
      <c r="B188" s="138"/>
      <c r="C188" s="138">
        <v>2000</v>
      </c>
      <c r="D188" s="138">
        <f>1126+32.97</f>
        <v>1158.97</v>
      </c>
      <c r="E188" s="138"/>
      <c r="F188" s="138"/>
      <c r="G188" s="138"/>
      <c r="H188" s="138"/>
      <c r="I188" s="138"/>
      <c r="J188" s="139"/>
      <c r="K188" s="28"/>
      <c r="L188" s="28"/>
      <c r="M188" s="28"/>
    </row>
    <row r="189" spans="1:13" ht="15.75">
      <c r="A189" s="165" t="s">
        <v>100</v>
      </c>
      <c r="B189" s="138"/>
      <c r="C189" s="138"/>
      <c r="D189" s="138"/>
      <c r="E189" s="138"/>
      <c r="F189" s="138"/>
      <c r="G189" s="138"/>
      <c r="H189" s="138"/>
      <c r="I189" s="138"/>
      <c r="J189" s="139"/>
      <c r="K189" s="28"/>
      <c r="L189" s="28"/>
      <c r="M189" s="28"/>
    </row>
    <row r="190" spans="1:13" ht="15.75">
      <c r="A190" s="159" t="s">
        <v>333</v>
      </c>
      <c r="B190" s="138"/>
      <c r="C190" s="138"/>
      <c r="D190" s="138"/>
      <c r="E190" s="138"/>
      <c r="F190" s="138"/>
      <c r="G190" s="138">
        <v>5650</v>
      </c>
      <c r="H190" s="138"/>
      <c r="I190" s="138">
        <v>1300</v>
      </c>
      <c r="J190" s="139">
        <v>650</v>
      </c>
      <c r="K190" s="28"/>
      <c r="L190" s="28"/>
      <c r="M190" s="28"/>
    </row>
    <row r="191" spans="1:13" ht="15.75" hidden="1">
      <c r="A191" s="160" t="s">
        <v>101</v>
      </c>
      <c r="B191" s="138">
        <f>401+1292.66+125+646.33</f>
        <v>2464.9900000000002</v>
      </c>
      <c r="C191" s="138">
        <v>950</v>
      </c>
      <c r="D191" s="138">
        <f>626.17+302</f>
        <v>928.17</v>
      </c>
      <c r="E191" s="138"/>
      <c r="F191" s="138"/>
      <c r="G191" s="138"/>
      <c r="H191" s="138"/>
      <c r="I191" s="138"/>
      <c r="J191" s="139"/>
      <c r="K191" s="28"/>
      <c r="L191" s="28"/>
      <c r="M191" s="28"/>
    </row>
    <row r="192" spans="1:13" ht="15.75" hidden="1">
      <c r="A192" s="160" t="s">
        <v>102</v>
      </c>
      <c r="B192" s="138"/>
      <c r="C192" s="138"/>
      <c r="D192" s="138"/>
      <c r="E192" s="138"/>
      <c r="F192" s="138"/>
      <c r="G192" s="138"/>
      <c r="H192" s="138"/>
      <c r="I192" s="138"/>
      <c r="J192" s="139"/>
      <c r="K192" s="28"/>
      <c r="L192" s="28"/>
      <c r="M192" s="28"/>
    </row>
    <row r="193" spans="1:13" ht="15.75" hidden="1">
      <c r="A193" s="160" t="s">
        <v>103</v>
      </c>
      <c r="B193" s="138"/>
      <c r="C193" s="138"/>
      <c r="D193" s="138"/>
      <c r="E193" s="138"/>
      <c r="F193" s="138"/>
      <c r="G193" s="138"/>
      <c r="H193" s="138"/>
      <c r="I193" s="138"/>
      <c r="J193" s="139"/>
      <c r="K193" s="28"/>
      <c r="L193" s="28"/>
      <c r="M193" s="28"/>
    </row>
    <row r="194" spans="1:13" ht="15.75" hidden="1">
      <c r="A194" s="160" t="s">
        <v>104</v>
      </c>
      <c r="B194" s="138">
        <f>32037.85</f>
        <v>32037.85</v>
      </c>
      <c r="C194" s="138"/>
      <c r="D194" s="138"/>
      <c r="E194" s="138"/>
      <c r="F194" s="138"/>
      <c r="G194" s="138"/>
      <c r="H194" s="138"/>
      <c r="I194" s="138"/>
      <c r="J194" s="139"/>
      <c r="K194" s="28"/>
      <c r="L194" s="28"/>
      <c r="M194" s="28"/>
    </row>
    <row r="195" spans="1:13" ht="15.75" hidden="1">
      <c r="A195" s="159"/>
      <c r="B195" s="138"/>
      <c r="C195" s="138"/>
      <c r="D195" s="138"/>
      <c r="E195" s="138"/>
      <c r="F195" s="138"/>
      <c r="G195" s="138"/>
      <c r="H195" s="138"/>
      <c r="I195" s="138"/>
      <c r="J195" s="139"/>
      <c r="K195" s="28"/>
      <c r="L195" s="28"/>
      <c r="M195" s="28"/>
    </row>
    <row r="196" spans="1:13" ht="15.75" hidden="1">
      <c r="A196" s="160" t="s">
        <v>213</v>
      </c>
      <c r="B196" s="138"/>
      <c r="C196" s="138"/>
      <c r="D196" s="138">
        <v>6783.94</v>
      </c>
      <c r="E196" s="138"/>
      <c r="F196" s="138"/>
      <c r="G196" s="138"/>
      <c r="H196" s="138"/>
      <c r="I196" s="138"/>
      <c r="J196" s="139"/>
      <c r="K196" s="28"/>
      <c r="L196" s="28"/>
      <c r="M196" s="28"/>
    </row>
    <row r="197" spans="1:13" ht="15.75">
      <c r="A197" s="160"/>
      <c r="B197" s="138"/>
      <c r="C197" s="138"/>
      <c r="D197" s="162"/>
      <c r="E197" s="138"/>
      <c r="F197" s="138"/>
      <c r="G197" s="138"/>
      <c r="H197" s="138"/>
      <c r="I197" s="138"/>
      <c r="J197" s="139"/>
      <c r="K197" s="28"/>
      <c r="L197" s="28"/>
      <c r="M197" s="28"/>
    </row>
    <row r="198" spans="1:13" ht="15.75">
      <c r="A198" s="158" t="s">
        <v>105</v>
      </c>
      <c r="B198" s="138"/>
      <c r="C198" s="138"/>
      <c r="D198" s="138"/>
      <c r="E198" s="138"/>
      <c r="F198" s="138"/>
      <c r="G198" s="138"/>
      <c r="H198" s="138"/>
      <c r="I198" s="138"/>
      <c r="J198" s="139"/>
      <c r="K198" s="28"/>
      <c r="L198" s="28"/>
      <c r="M198" s="28"/>
    </row>
    <row r="199" spans="1:13" ht="15.75">
      <c r="A199" s="165" t="s">
        <v>106</v>
      </c>
      <c r="B199" s="138"/>
      <c r="C199" s="138"/>
      <c r="D199" s="138"/>
      <c r="E199" s="138"/>
      <c r="F199" s="138"/>
      <c r="G199" s="138"/>
      <c r="H199" s="138"/>
      <c r="I199" s="138"/>
      <c r="J199" s="139"/>
      <c r="K199" s="28"/>
      <c r="L199" s="28"/>
      <c r="M199" s="28"/>
    </row>
    <row r="200" spans="1:13" ht="15.75">
      <c r="A200" s="161" t="s">
        <v>95</v>
      </c>
      <c r="B200" s="138"/>
      <c r="C200" s="138"/>
      <c r="D200" s="138"/>
      <c r="E200" s="138">
        <v>8585</v>
      </c>
      <c r="F200" s="138">
        <v>8600</v>
      </c>
      <c r="G200" s="138"/>
      <c r="H200" s="138"/>
      <c r="I200" s="138"/>
      <c r="J200" s="139"/>
      <c r="K200" s="28"/>
      <c r="L200" s="28"/>
      <c r="M200" s="28"/>
    </row>
    <row r="201" spans="1:13" ht="15.75">
      <c r="A201" s="159" t="s">
        <v>333</v>
      </c>
      <c r="B201" s="138"/>
      <c r="C201" s="138"/>
      <c r="D201" s="138"/>
      <c r="E201" s="138"/>
      <c r="F201" s="138"/>
      <c r="G201" s="138">
        <v>650</v>
      </c>
      <c r="H201" s="138">
        <v>1300</v>
      </c>
      <c r="I201" s="138">
        <v>650</v>
      </c>
      <c r="J201" s="139">
        <v>1300</v>
      </c>
      <c r="K201" s="28"/>
      <c r="L201" s="28"/>
      <c r="M201" s="28"/>
    </row>
    <row r="202" spans="1:13" ht="15.75" hidden="1">
      <c r="A202" s="160" t="s">
        <v>98</v>
      </c>
      <c r="B202" s="138">
        <f>125+1938.99</f>
        <v>2063.99</v>
      </c>
      <c r="C202" s="138"/>
      <c r="D202" s="138"/>
      <c r="E202" s="138"/>
      <c r="F202" s="138"/>
      <c r="G202" s="138"/>
      <c r="H202" s="138"/>
      <c r="I202" s="138"/>
      <c r="J202" s="139"/>
      <c r="K202" s="28"/>
      <c r="L202" s="28"/>
      <c r="M202" s="28"/>
    </row>
    <row r="203" spans="1:13" ht="15.75" hidden="1">
      <c r="A203" s="160" t="s">
        <v>30</v>
      </c>
      <c r="B203" s="138"/>
      <c r="C203" s="138">
        <v>1300</v>
      </c>
      <c r="D203" s="138">
        <v>1252.34</v>
      </c>
      <c r="E203" s="138"/>
      <c r="F203" s="138"/>
      <c r="G203" s="138"/>
      <c r="H203" s="138"/>
      <c r="I203" s="138"/>
      <c r="J203" s="139"/>
      <c r="K203" s="28"/>
      <c r="L203" s="28"/>
      <c r="M203" s="28"/>
    </row>
    <row r="204" spans="1:13" ht="15.75">
      <c r="A204" s="165" t="s">
        <v>107</v>
      </c>
      <c r="B204" s="138"/>
      <c r="C204" s="138"/>
      <c r="D204" s="138"/>
      <c r="E204" s="138"/>
      <c r="F204" s="138"/>
      <c r="G204" s="138"/>
      <c r="H204" s="138"/>
      <c r="I204" s="138"/>
      <c r="J204" s="139"/>
      <c r="K204" s="28"/>
      <c r="L204" s="28"/>
      <c r="M204" s="28"/>
    </row>
    <row r="205" spans="1:13" ht="15.75">
      <c r="A205" s="160" t="s">
        <v>382</v>
      </c>
      <c r="B205" s="138"/>
      <c r="C205" s="138"/>
      <c r="D205" s="138"/>
      <c r="E205" s="138">
        <v>49549.5</v>
      </c>
      <c r="F205" s="138">
        <v>125000</v>
      </c>
      <c r="G205" s="138"/>
      <c r="H205" s="138"/>
      <c r="I205" s="138"/>
      <c r="J205" s="139"/>
      <c r="K205" s="28"/>
      <c r="L205" s="28"/>
      <c r="M205" s="28"/>
    </row>
    <row r="206" spans="1:13" ht="15.75">
      <c r="A206" s="160" t="s">
        <v>333</v>
      </c>
      <c r="B206" s="138"/>
      <c r="C206" s="138"/>
      <c r="D206" s="138"/>
      <c r="E206" s="138">
        <f>158.99+302+1248.06</f>
        <v>1709.05</v>
      </c>
      <c r="F206" s="138">
        <v>4000</v>
      </c>
      <c r="G206" s="138">
        <v>1300</v>
      </c>
      <c r="H206" s="138">
        <v>3900</v>
      </c>
      <c r="I206" s="138">
        <v>1300</v>
      </c>
      <c r="J206" s="139">
        <v>4100</v>
      </c>
      <c r="K206" s="28"/>
      <c r="L206" s="28"/>
      <c r="M206" s="28"/>
    </row>
    <row r="207" spans="1:13" ht="15.75">
      <c r="A207" s="160" t="s">
        <v>383</v>
      </c>
      <c r="B207" s="138"/>
      <c r="C207" s="138"/>
      <c r="D207" s="138"/>
      <c r="E207" s="138"/>
      <c r="F207" s="138">
        <v>101250</v>
      </c>
      <c r="G207" s="138">
        <v>33750</v>
      </c>
      <c r="H207" s="138">
        <v>35000</v>
      </c>
      <c r="I207" s="138">
        <v>37000</v>
      </c>
      <c r="J207" s="139">
        <v>40000</v>
      </c>
      <c r="K207" s="28"/>
      <c r="L207" s="28"/>
      <c r="M207" s="28"/>
    </row>
    <row r="208" spans="1:13" ht="15.75" hidden="1">
      <c r="A208" s="160" t="s">
        <v>108</v>
      </c>
      <c r="B208" s="138">
        <v>1292.66</v>
      </c>
      <c r="C208" s="138">
        <v>3250</v>
      </c>
      <c r="D208" s="138"/>
      <c r="E208" s="138"/>
      <c r="F208" s="138"/>
      <c r="G208" s="138"/>
      <c r="H208" s="138"/>
      <c r="I208" s="138"/>
      <c r="J208" s="139"/>
      <c r="K208" s="28"/>
      <c r="L208" s="28"/>
      <c r="M208" s="28"/>
    </row>
    <row r="209" spans="1:13" ht="15.75" hidden="1">
      <c r="A209" s="159" t="s">
        <v>109</v>
      </c>
      <c r="B209" s="138"/>
      <c r="C209" s="138">
        <v>4275</v>
      </c>
      <c r="D209" s="138">
        <v>7580.94</v>
      </c>
      <c r="E209" s="138"/>
      <c r="F209" s="138"/>
      <c r="G209" s="138"/>
      <c r="H209" s="138"/>
      <c r="I209" s="138"/>
      <c r="J209" s="139"/>
      <c r="K209" s="28"/>
      <c r="L209" s="28"/>
      <c r="M209" s="28"/>
    </row>
    <row r="210" spans="1:13" ht="15.75" hidden="1">
      <c r="A210" s="159" t="s">
        <v>110</v>
      </c>
      <c r="B210" s="138">
        <f>80673+5356.11+1260</f>
        <v>87289.11</v>
      </c>
      <c r="C210" s="138">
        <v>97500</v>
      </c>
      <c r="D210" s="138">
        <f>28500.73+28500.73+28500.73+1260+1150</f>
        <v>87912.19</v>
      </c>
      <c r="E210" s="138"/>
      <c r="F210" s="138"/>
      <c r="G210" s="138"/>
      <c r="H210" s="138"/>
      <c r="I210" s="138"/>
      <c r="J210" s="139"/>
      <c r="K210" s="28"/>
      <c r="L210" s="28"/>
      <c r="M210" s="28"/>
    </row>
    <row r="211" spans="1:13" ht="15.75" hidden="1">
      <c r="A211" s="159" t="s">
        <v>214</v>
      </c>
      <c r="B211" s="138">
        <f>800+3000+1750</f>
        <v>5550</v>
      </c>
      <c r="C211" s="138"/>
      <c r="D211" s="162">
        <f>6283.32+640</f>
        <v>6923.32</v>
      </c>
      <c r="E211" s="138"/>
      <c r="F211" s="138"/>
      <c r="G211" s="138"/>
      <c r="H211" s="138"/>
      <c r="I211" s="138"/>
      <c r="J211" s="139"/>
      <c r="K211" s="28"/>
      <c r="L211" s="28"/>
      <c r="M211" s="28"/>
    </row>
    <row r="212" spans="1:13" ht="15.75" hidden="1">
      <c r="A212" s="140" t="s">
        <v>319</v>
      </c>
      <c r="B212" s="138"/>
      <c r="C212" s="138"/>
      <c r="D212" s="138"/>
      <c r="E212" s="138"/>
      <c r="F212" s="138"/>
      <c r="G212" s="138"/>
      <c r="H212" s="138"/>
      <c r="I212" s="138"/>
      <c r="J212" s="139"/>
      <c r="K212" s="28"/>
      <c r="L212" s="28"/>
      <c r="M212" s="28"/>
    </row>
    <row r="213" spans="1:13" ht="15.75">
      <c r="A213" s="140"/>
      <c r="B213" s="138"/>
      <c r="C213" s="138"/>
      <c r="D213" s="138"/>
      <c r="E213" s="138"/>
      <c r="F213" s="138"/>
      <c r="G213" s="138"/>
      <c r="H213" s="138"/>
      <c r="I213" s="138"/>
      <c r="J213" s="139"/>
      <c r="K213" s="28"/>
      <c r="L213" s="28"/>
      <c r="M213" s="28"/>
    </row>
    <row r="214" spans="1:12" ht="20.25">
      <c r="A214" s="141" t="s">
        <v>329</v>
      </c>
      <c r="B214" s="135">
        <f aca="true" t="shared" si="2" ref="B214:J214">SUM(B13:B212)</f>
        <v>1876303.7100000004</v>
      </c>
      <c r="C214" s="135">
        <f t="shared" si="2"/>
        <v>2424130</v>
      </c>
      <c r="D214" s="135">
        <f t="shared" si="2"/>
        <v>2374927.7999999993</v>
      </c>
      <c r="E214" s="152">
        <f t="shared" si="2"/>
        <v>1706296.5500000003</v>
      </c>
      <c r="F214" s="152">
        <f t="shared" si="2"/>
        <v>2644660</v>
      </c>
      <c r="G214" s="152">
        <f t="shared" si="2"/>
        <v>2062450</v>
      </c>
      <c r="H214" s="152">
        <f t="shared" si="2"/>
        <v>1607150</v>
      </c>
      <c r="I214" s="152">
        <f t="shared" si="2"/>
        <v>1430750</v>
      </c>
      <c r="J214" s="153">
        <f t="shared" si="2"/>
        <v>1782400</v>
      </c>
      <c r="K214" s="27"/>
      <c r="L214" s="27"/>
    </row>
    <row r="215" spans="1:10" ht="15.75">
      <c r="A215" s="137"/>
      <c r="B215" s="142"/>
      <c r="C215" s="142"/>
      <c r="D215" s="142"/>
      <c r="E215" s="142"/>
      <c r="F215" s="142"/>
      <c r="G215" s="142"/>
      <c r="H215" s="142"/>
      <c r="I215" s="142"/>
      <c r="J215" s="143"/>
    </row>
    <row r="216" spans="1:10" ht="15.75">
      <c r="A216" s="141" t="s">
        <v>5</v>
      </c>
      <c r="B216" s="144">
        <f aca="true" t="shared" si="3" ref="B216:J216">+B12-B214</f>
        <v>159907.10999999964</v>
      </c>
      <c r="C216" s="144">
        <f t="shared" si="3"/>
        <v>187390</v>
      </c>
      <c r="D216" s="144">
        <f t="shared" si="3"/>
        <v>220476.12000000058</v>
      </c>
      <c r="E216" s="144">
        <f t="shared" si="3"/>
        <v>-1579623.5500000003</v>
      </c>
      <c r="F216" s="144">
        <f t="shared" si="3"/>
        <v>-227560</v>
      </c>
      <c r="G216" s="144">
        <f t="shared" si="3"/>
        <v>162550</v>
      </c>
      <c r="H216" s="144">
        <f t="shared" si="3"/>
        <v>117850</v>
      </c>
      <c r="I216" s="144">
        <f t="shared" si="3"/>
        <v>-105750</v>
      </c>
      <c r="J216" s="145">
        <f t="shared" si="3"/>
        <v>-57400</v>
      </c>
    </row>
    <row r="217" spans="1:10" ht="15.75">
      <c r="A217" s="141"/>
      <c r="B217" s="142"/>
      <c r="C217" s="142"/>
      <c r="D217" s="142"/>
      <c r="E217" s="142"/>
      <c r="F217" s="142"/>
      <c r="G217" s="142"/>
      <c r="H217" s="142"/>
      <c r="I217" s="142"/>
      <c r="J217" s="143"/>
    </row>
    <row r="218" spans="1:10" ht="20.25">
      <c r="A218" s="151" t="s">
        <v>6</v>
      </c>
      <c r="B218" s="146">
        <f aca="true" t="shared" si="4" ref="B218:J218">+B5+B216</f>
        <v>410514.10999999964</v>
      </c>
      <c r="C218" s="146">
        <f t="shared" si="4"/>
        <v>390357</v>
      </c>
      <c r="D218" s="146">
        <f t="shared" si="4"/>
        <v>423443.1200000006</v>
      </c>
      <c r="E218" s="147">
        <f t="shared" si="4"/>
        <v>-1156180.4299999997</v>
      </c>
      <c r="F218" s="147">
        <f t="shared" si="4"/>
        <v>195883.12000000058</v>
      </c>
      <c r="G218" s="147">
        <f t="shared" si="4"/>
        <v>358433.1200000006</v>
      </c>
      <c r="H218" s="147">
        <f t="shared" si="4"/>
        <v>476283.1200000006</v>
      </c>
      <c r="I218" s="147">
        <f t="shared" si="4"/>
        <v>370533.1200000006</v>
      </c>
      <c r="J218" s="148">
        <f t="shared" si="4"/>
        <v>313133.1200000006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 topLeftCell="A4">
      <selection activeCell="J142" sqref="J142"/>
    </sheetView>
  </sheetViews>
  <sheetFormatPr defaultColWidth="9.00390625" defaultRowHeight="15.75"/>
  <cols>
    <col min="1" max="1" width="36.50390625" style="342" customWidth="1"/>
    <col min="2" max="6" width="12.375" style="343" bestFit="1" customWidth="1"/>
    <col min="7" max="16384" width="9.00390625" style="342" customWidth="1"/>
  </cols>
  <sheetData>
    <row r="1" spans="1:6" ht="16.5">
      <c r="A1" s="344" t="s">
        <v>0</v>
      </c>
      <c r="B1" s="345">
        <v>2019</v>
      </c>
      <c r="C1" s="345">
        <f>B1+1</f>
        <v>2020</v>
      </c>
      <c r="D1" s="345">
        <f>C1+1</f>
        <v>2021</v>
      </c>
      <c r="E1" s="345">
        <f>D1+1</f>
        <v>2022</v>
      </c>
      <c r="F1" s="345">
        <f>E1+1</f>
        <v>2023</v>
      </c>
    </row>
    <row r="2" spans="1:6" ht="18.75">
      <c r="A2" s="346" t="s">
        <v>19</v>
      </c>
      <c r="B2" s="339">
        <v>423443</v>
      </c>
      <c r="C2" s="339">
        <f>B142</f>
        <v>195883</v>
      </c>
      <c r="D2" s="339">
        <f>C142</f>
        <v>358433</v>
      </c>
      <c r="E2" s="339">
        <f>D142</f>
        <v>476283</v>
      </c>
      <c r="F2" s="339">
        <f>E142</f>
        <v>370533</v>
      </c>
    </row>
    <row r="3" spans="1:6" ht="16.5">
      <c r="A3" s="331" t="s">
        <v>569</v>
      </c>
      <c r="B3" s="340"/>
      <c r="C3" s="340"/>
      <c r="D3" s="340"/>
      <c r="E3" s="340"/>
      <c r="F3" s="340"/>
    </row>
    <row r="4" spans="1:6" ht="16.5">
      <c r="A4" s="332" t="s">
        <v>9</v>
      </c>
      <c r="B4" s="340">
        <v>2100</v>
      </c>
      <c r="C4" s="340">
        <v>0</v>
      </c>
      <c r="D4" s="340">
        <v>0</v>
      </c>
      <c r="E4" s="340">
        <v>0</v>
      </c>
      <c r="F4" s="340">
        <v>0</v>
      </c>
    </row>
    <row r="5" spans="1:6" ht="16.5">
      <c r="A5" s="332" t="s">
        <v>111</v>
      </c>
      <c r="B5" s="340">
        <v>125000</v>
      </c>
      <c r="C5" s="340">
        <v>125000</v>
      </c>
      <c r="D5" s="340">
        <v>125000</v>
      </c>
      <c r="E5" s="340">
        <v>125000</v>
      </c>
      <c r="F5" s="340">
        <v>125000</v>
      </c>
    </row>
    <row r="6" spans="1:6" ht="16.5">
      <c r="A6" s="332" t="s">
        <v>215</v>
      </c>
      <c r="B6" s="340">
        <v>15000</v>
      </c>
      <c r="C6" s="340">
        <v>0</v>
      </c>
      <c r="D6" s="340">
        <v>0</v>
      </c>
      <c r="E6" s="340">
        <v>0</v>
      </c>
      <c r="F6" s="340">
        <v>0</v>
      </c>
    </row>
    <row r="7" spans="1:6" ht="16.5">
      <c r="A7" s="332" t="s">
        <v>113</v>
      </c>
      <c r="B7" s="340">
        <v>2275000</v>
      </c>
      <c r="C7" s="340">
        <v>2100000</v>
      </c>
      <c r="D7" s="340">
        <v>1600000</v>
      </c>
      <c r="E7" s="340">
        <v>1200000</v>
      </c>
      <c r="F7" s="340">
        <v>1600000</v>
      </c>
    </row>
    <row r="8" spans="1:6" ht="18.75">
      <c r="A8" s="347" t="s">
        <v>4</v>
      </c>
      <c r="B8" s="341">
        <f>SUM(B3:B7)</f>
        <v>2417100</v>
      </c>
      <c r="C8" s="341">
        <f>SUM(C3:C7)</f>
        <v>2225000</v>
      </c>
      <c r="D8" s="341">
        <f>SUM(D3:D7)</f>
        <v>1725000</v>
      </c>
      <c r="E8" s="341">
        <f>SUM(E3:E7)</f>
        <v>1325000</v>
      </c>
      <c r="F8" s="341">
        <f>SUM(F3:F7)</f>
        <v>1725000</v>
      </c>
    </row>
    <row r="9" spans="1:6" ht="18.75">
      <c r="A9" s="331" t="s">
        <v>115</v>
      </c>
      <c r="B9" s="329"/>
      <c r="C9" s="329"/>
      <c r="D9" s="329"/>
      <c r="E9" s="329"/>
      <c r="F9" s="329"/>
    </row>
    <row r="10" spans="1:6" ht="16.5">
      <c r="A10" s="332" t="s">
        <v>116</v>
      </c>
      <c r="B10" s="330">
        <f>B11</f>
        <v>0</v>
      </c>
      <c r="C10" s="330">
        <f>C11</f>
        <v>1200</v>
      </c>
      <c r="D10" s="330">
        <f>D11</f>
        <v>0</v>
      </c>
      <c r="E10" s="330">
        <f>E11</f>
        <v>0</v>
      </c>
      <c r="F10" s="330">
        <f>F11</f>
        <v>0</v>
      </c>
    </row>
    <row r="11" spans="1:6" ht="16.5" hidden="1">
      <c r="A11" s="333" t="s">
        <v>333</v>
      </c>
      <c r="B11" s="330"/>
      <c r="C11" s="330">
        <v>1200</v>
      </c>
      <c r="D11" s="330"/>
      <c r="E11" s="330"/>
      <c r="F11" s="330"/>
    </row>
    <row r="12" spans="1:6" ht="16.5">
      <c r="A12" s="331" t="s">
        <v>21</v>
      </c>
      <c r="B12" s="330"/>
      <c r="C12" s="330"/>
      <c r="D12" s="330"/>
      <c r="E12" s="330"/>
      <c r="F12" s="330"/>
    </row>
    <row r="13" spans="1:6" ht="16.5">
      <c r="A13" s="334" t="s">
        <v>22</v>
      </c>
      <c r="B13" s="330">
        <f>B14</f>
        <v>0</v>
      </c>
      <c r="C13" s="330">
        <f>C14</f>
        <v>0</v>
      </c>
      <c r="D13" s="330">
        <f>D14</f>
        <v>0</v>
      </c>
      <c r="E13" s="330">
        <f>E14</f>
        <v>0</v>
      </c>
      <c r="F13" s="330">
        <f>F14</f>
        <v>2150</v>
      </c>
    </row>
    <row r="14" spans="1:6" ht="16.5" hidden="1">
      <c r="A14" s="333" t="s">
        <v>333</v>
      </c>
      <c r="B14" s="330"/>
      <c r="C14" s="330"/>
      <c r="D14" s="330"/>
      <c r="E14" s="330"/>
      <c r="F14" s="330">
        <v>2150</v>
      </c>
    </row>
    <row r="15" spans="1:6" ht="16.5">
      <c r="A15" s="332" t="s">
        <v>24</v>
      </c>
      <c r="B15" s="330">
        <f>B16</f>
        <v>700</v>
      </c>
      <c r="C15" s="330">
        <f>C16</f>
        <v>0</v>
      </c>
      <c r="D15" s="330">
        <f>D16</f>
        <v>1300</v>
      </c>
      <c r="E15" s="330">
        <f>E16</f>
        <v>650</v>
      </c>
      <c r="F15" s="330">
        <f>F16</f>
        <v>0</v>
      </c>
    </row>
    <row r="16" spans="1:6" ht="16.5" hidden="1">
      <c r="A16" s="333" t="s">
        <v>333</v>
      </c>
      <c r="B16" s="330">
        <v>700</v>
      </c>
      <c r="C16" s="330"/>
      <c r="D16" s="330">
        <v>1300</v>
      </c>
      <c r="E16" s="330">
        <v>650</v>
      </c>
      <c r="F16" s="330"/>
    </row>
    <row r="17" spans="1:6" ht="16.5">
      <c r="A17" s="332" t="s">
        <v>26</v>
      </c>
      <c r="B17" s="330">
        <f>B18</f>
        <v>1350</v>
      </c>
      <c r="C17" s="330">
        <f>C18</f>
        <v>0</v>
      </c>
      <c r="D17" s="330">
        <f>D18</f>
        <v>0</v>
      </c>
      <c r="E17" s="330">
        <f>E18</f>
        <v>0</v>
      </c>
      <c r="F17" s="330">
        <f>F18</f>
        <v>0</v>
      </c>
    </row>
    <row r="18" spans="1:6" ht="16.5" customHeight="1" hidden="1">
      <c r="A18" s="333" t="s">
        <v>333</v>
      </c>
      <c r="B18" s="330">
        <v>1350</v>
      </c>
      <c r="C18" s="330"/>
      <c r="D18" s="330"/>
      <c r="E18" s="330"/>
      <c r="F18" s="330"/>
    </row>
    <row r="19" spans="1:6" ht="16.5">
      <c r="A19" s="332" t="s">
        <v>28</v>
      </c>
      <c r="B19" s="330">
        <f>B20</f>
        <v>0</v>
      </c>
      <c r="C19" s="330">
        <f>C20</f>
        <v>650</v>
      </c>
      <c r="D19" s="330">
        <f>D20</f>
        <v>0</v>
      </c>
      <c r="E19" s="330">
        <f>E20</f>
        <v>1750</v>
      </c>
      <c r="F19" s="330">
        <f>F20</f>
        <v>0</v>
      </c>
    </row>
    <row r="20" spans="1:6" ht="16.5" hidden="1">
      <c r="A20" s="333" t="s">
        <v>333</v>
      </c>
      <c r="B20" s="330"/>
      <c r="C20" s="330">
        <v>650</v>
      </c>
      <c r="D20" s="330"/>
      <c r="E20" s="330">
        <v>1750</v>
      </c>
      <c r="F20" s="330"/>
    </row>
    <row r="21" spans="1:6" ht="16.5">
      <c r="A21" s="332" t="s">
        <v>29</v>
      </c>
      <c r="B21" s="330">
        <f>B22</f>
        <v>2100</v>
      </c>
      <c r="C21" s="330">
        <f>C22</f>
        <v>3700</v>
      </c>
      <c r="D21" s="330">
        <f>D22</f>
        <v>1950</v>
      </c>
      <c r="E21" s="330">
        <f>E22</f>
        <v>1000</v>
      </c>
      <c r="F21" s="330">
        <f>F22</f>
        <v>2000</v>
      </c>
    </row>
    <row r="22" spans="1:6" ht="16.5" hidden="1">
      <c r="A22" s="333" t="s">
        <v>333</v>
      </c>
      <c r="B22" s="330">
        <v>2100</v>
      </c>
      <c r="C22" s="330">
        <v>3700</v>
      </c>
      <c r="D22" s="330">
        <v>1950</v>
      </c>
      <c r="E22" s="330">
        <v>1000</v>
      </c>
      <c r="F22" s="330">
        <v>2000</v>
      </c>
    </row>
    <row r="23" spans="1:6" ht="16.5">
      <c r="A23" s="332" t="s">
        <v>31</v>
      </c>
      <c r="B23" s="330">
        <f>SUM(B24:B27)</f>
        <v>68700</v>
      </c>
      <c r="C23" s="330">
        <f>SUM(C24:C27)</f>
        <v>15150</v>
      </c>
      <c r="D23" s="330">
        <f>SUM(D24:D27)</f>
        <v>29500</v>
      </c>
      <c r="E23" s="330">
        <f>SUM(E24:E27)</f>
        <v>8950</v>
      </c>
      <c r="F23" s="330">
        <f>SUM(F24:F27)</f>
        <v>16500</v>
      </c>
    </row>
    <row r="24" spans="1:6" ht="16.5" hidden="1">
      <c r="A24" s="333" t="s">
        <v>330</v>
      </c>
      <c r="B24" s="330">
        <v>41700</v>
      </c>
      <c r="C24" s="330"/>
      <c r="D24" s="330"/>
      <c r="E24" s="330"/>
      <c r="F24" s="330"/>
    </row>
    <row r="25" spans="1:6" ht="16.5" hidden="1">
      <c r="A25" s="335" t="s">
        <v>331</v>
      </c>
      <c r="B25" s="330">
        <v>8800</v>
      </c>
      <c r="C25" s="330">
        <v>14500</v>
      </c>
      <c r="D25" s="330">
        <v>28000</v>
      </c>
      <c r="E25" s="330">
        <v>6000</v>
      </c>
      <c r="F25" s="330">
        <v>16500</v>
      </c>
    </row>
    <row r="26" spans="1:6" ht="16.5" hidden="1">
      <c r="A26" s="335" t="s">
        <v>332</v>
      </c>
      <c r="B26" s="330">
        <v>15000</v>
      </c>
      <c r="C26" s="330"/>
      <c r="D26" s="330"/>
      <c r="E26" s="330"/>
      <c r="F26" s="330"/>
    </row>
    <row r="27" spans="1:6" ht="16.5" hidden="1">
      <c r="A27" s="333" t="s">
        <v>333</v>
      </c>
      <c r="B27" s="330">
        <v>3200</v>
      </c>
      <c r="C27" s="330">
        <v>650</v>
      </c>
      <c r="D27" s="330">
        <v>1500</v>
      </c>
      <c r="E27" s="330">
        <v>2950</v>
      </c>
      <c r="F27" s="330"/>
    </row>
    <row r="28" spans="1:6" ht="16.5">
      <c r="A28" s="331" t="s">
        <v>37</v>
      </c>
      <c r="B28" s="330"/>
      <c r="C28" s="330"/>
      <c r="D28" s="330"/>
      <c r="E28" s="330"/>
      <c r="F28" s="330"/>
    </row>
    <row r="29" spans="1:6" ht="16.5">
      <c r="A29" s="332" t="s">
        <v>38</v>
      </c>
      <c r="B29" s="330">
        <f>B30+B31</f>
        <v>67350</v>
      </c>
      <c r="C29" s="330">
        <f>C30+C31</f>
        <v>67600</v>
      </c>
      <c r="D29" s="330">
        <f>D30+D31</f>
        <v>69200</v>
      </c>
      <c r="E29" s="330">
        <f>E30+E31</f>
        <v>70800</v>
      </c>
      <c r="F29" s="330">
        <f>F30+F31</f>
        <v>74100</v>
      </c>
    </row>
    <row r="30" spans="1:6" ht="16.5" hidden="1">
      <c r="A30" s="335" t="s">
        <v>347</v>
      </c>
      <c r="B30" s="330">
        <v>66000</v>
      </c>
      <c r="C30" s="330">
        <v>67600</v>
      </c>
      <c r="D30" s="330">
        <v>69200</v>
      </c>
      <c r="E30" s="330">
        <v>70800</v>
      </c>
      <c r="F30" s="330">
        <v>72600</v>
      </c>
    </row>
    <row r="31" spans="1:6" ht="16.5" hidden="1">
      <c r="A31" s="333" t="s">
        <v>333</v>
      </c>
      <c r="B31" s="330">
        <v>1350</v>
      </c>
      <c r="C31" s="330"/>
      <c r="D31" s="330"/>
      <c r="E31" s="330"/>
      <c r="F31" s="330">
        <v>1500</v>
      </c>
    </row>
    <row r="32" spans="1:6" ht="16.5">
      <c r="A32" s="334" t="s">
        <v>41</v>
      </c>
      <c r="B32" s="330">
        <f>B33</f>
        <v>1650</v>
      </c>
      <c r="C32" s="330">
        <f>C33</f>
        <v>0</v>
      </c>
      <c r="D32" s="330">
        <f>D33</f>
        <v>1100</v>
      </c>
      <c r="E32" s="330">
        <f>E33</f>
        <v>0</v>
      </c>
      <c r="F32" s="330">
        <f>F33</f>
        <v>1300</v>
      </c>
    </row>
    <row r="33" spans="1:6" ht="16.5" hidden="1">
      <c r="A33" s="333" t="s">
        <v>333</v>
      </c>
      <c r="B33" s="330">
        <v>1650</v>
      </c>
      <c r="C33" s="330"/>
      <c r="D33" s="330">
        <v>1100</v>
      </c>
      <c r="E33" s="330"/>
      <c r="F33" s="330">
        <v>1300</v>
      </c>
    </row>
    <row r="34" spans="1:6" ht="16.5">
      <c r="A34" s="332" t="s">
        <v>42</v>
      </c>
      <c r="B34" s="330">
        <f>B35</f>
        <v>1350</v>
      </c>
      <c r="C34" s="330">
        <f>C35</f>
        <v>1100</v>
      </c>
      <c r="D34" s="330">
        <f>D35</f>
        <v>0</v>
      </c>
      <c r="E34" s="330">
        <f>E35</f>
        <v>0</v>
      </c>
      <c r="F34" s="330">
        <f>F35</f>
        <v>650</v>
      </c>
    </row>
    <row r="35" spans="1:6" ht="16.5" hidden="1">
      <c r="A35" s="333" t="s">
        <v>333</v>
      </c>
      <c r="B35" s="330">
        <v>1350</v>
      </c>
      <c r="C35" s="330">
        <v>1100</v>
      </c>
      <c r="D35" s="330"/>
      <c r="E35" s="330"/>
      <c r="F35" s="330">
        <v>650</v>
      </c>
    </row>
    <row r="36" spans="1:6" ht="16.5">
      <c r="A36" s="332" t="s">
        <v>43</v>
      </c>
      <c r="B36" s="330">
        <f>SUM(B37:B51)</f>
        <v>603150</v>
      </c>
      <c r="C36" s="330">
        <f>SUM(C37:C51)</f>
        <v>466250</v>
      </c>
      <c r="D36" s="330">
        <f>SUM(D37:D51)</f>
        <v>370250</v>
      </c>
      <c r="E36" s="330">
        <f>SUM(E37:E51)</f>
        <v>370350</v>
      </c>
      <c r="F36" s="330">
        <f>SUM(F37:F51)</f>
        <v>401650</v>
      </c>
    </row>
    <row r="37" spans="1:6" ht="16.5" hidden="1">
      <c r="A37" s="335" t="s">
        <v>345</v>
      </c>
      <c r="B37" s="330">
        <v>255000</v>
      </c>
      <c r="C37" s="330">
        <v>261600</v>
      </c>
      <c r="D37" s="330">
        <v>268100</v>
      </c>
      <c r="E37" s="330">
        <v>274800</v>
      </c>
      <c r="F37" s="330">
        <v>281700</v>
      </c>
    </row>
    <row r="38" spans="1:6" ht="16.5" hidden="1">
      <c r="A38" s="335" t="s">
        <v>344</v>
      </c>
      <c r="B38" s="330">
        <v>109000</v>
      </c>
      <c r="C38" s="330">
        <v>109000</v>
      </c>
      <c r="D38" s="330"/>
      <c r="E38" s="330"/>
      <c r="F38" s="330"/>
    </row>
    <row r="39" spans="1:6" ht="16.5" hidden="1">
      <c r="A39" s="335" t="s">
        <v>343</v>
      </c>
      <c r="B39" s="330">
        <v>3750</v>
      </c>
      <c r="C39" s="330">
        <v>3750</v>
      </c>
      <c r="D39" s="330">
        <v>3750</v>
      </c>
      <c r="E39" s="330">
        <v>3750</v>
      </c>
      <c r="F39" s="330">
        <v>3750</v>
      </c>
    </row>
    <row r="40" spans="1:6" ht="16.5" hidden="1">
      <c r="A40" s="333" t="s">
        <v>346</v>
      </c>
      <c r="B40" s="330">
        <v>1800</v>
      </c>
      <c r="C40" s="330">
        <v>1800</v>
      </c>
      <c r="D40" s="330">
        <v>1800</v>
      </c>
      <c r="E40" s="330">
        <v>1800</v>
      </c>
      <c r="F40" s="330">
        <v>1800</v>
      </c>
    </row>
    <row r="41" spans="1:6" ht="16.5" hidden="1">
      <c r="A41" s="335" t="s">
        <v>334</v>
      </c>
      <c r="B41" s="330">
        <v>2700</v>
      </c>
      <c r="C41" s="330">
        <v>2700</v>
      </c>
      <c r="D41" s="330">
        <v>2700</v>
      </c>
      <c r="E41" s="330">
        <v>2700</v>
      </c>
      <c r="F41" s="330">
        <v>2700</v>
      </c>
    </row>
    <row r="42" spans="1:6" ht="16.5" hidden="1">
      <c r="A42" s="333" t="s">
        <v>335</v>
      </c>
      <c r="B42" s="330">
        <v>38500</v>
      </c>
      <c r="C42" s="330">
        <v>38500</v>
      </c>
      <c r="D42" s="330">
        <v>38500</v>
      </c>
      <c r="E42" s="330">
        <v>38500</v>
      </c>
      <c r="F42" s="330">
        <v>38500</v>
      </c>
    </row>
    <row r="43" spans="1:6" ht="16.5" hidden="1">
      <c r="A43" s="333" t="s">
        <v>47</v>
      </c>
      <c r="B43" s="330"/>
      <c r="C43" s="330"/>
      <c r="D43" s="330">
        <v>20000</v>
      </c>
      <c r="E43" s="330"/>
      <c r="F43" s="330"/>
    </row>
    <row r="44" spans="1:6" ht="16.5" hidden="1">
      <c r="A44" s="333" t="s">
        <v>336</v>
      </c>
      <c r="B44" s="330">
        <v>9500</v>
      </c>
      <c r="C44" s="330"/>
      <c r="D44" s="330">
        <v>9500</v>
      </c>
      <c r="E44" s="330">
        <v>9500</v>
      </c>
      <c r="F44" s="330">
        <v>9500</v>
      </c>
    </row>
    <row r="45" spans="1:6" ht="16.5" hidden="1">
      <c r="A45" s="335" t="s">
        <v>342</v>
      </c>
      <c r="B45" s="330">
        <v>11000</v>
      </c>
      <c r="C45" s="330">
        <v>11000</v>
      </c>
      <c r="D45" s="330">
        <v>11000</v>
      </c>
      <c r="E45" s="330">
        <v>11000</v>
      </c>
      <c r="F45" s="330">
        <v>11000</v>
      </c>
    </row>
    <row r="46" spans="1:6" ht="16.5" hidden="1">
      <c r="A46" s="335" t="s">
        <v>337</v>
      </c>
      <c r="B46" s="330">
        <v>9800</v>
      </c>
      <c r="C46" s="330"/>
      <c r="D46" s="330"/>
      <c r="E46" s="330"/>
      <c r="F46" s="330"/>
    </row>
    <row r="47" spans="1:6" ht="16.5" hidden="1">
      <c r="A47" s="335" t="s">
        <v>318</v>
      </c>
      <c r="B47" s="330">
        <v>26000</v>
      </c>
      <c r="C47" s="330"/>
      <c r="D47" s="330"/>
      <c r="E47" s="330"/>
      <c r="F47" s="330"/>
    </row>
    <row r="48" spans="1:6" ht="16.5" hidden="1">
      <c r="A48" s="335" t="s">
        <v>59</v>
      </c>
      <c r="B48" s="330">
        <v>35000</v>
      </c>
      <c r="C48" s="330"/>
      <c r="D48" s="330"/>
      <c r="E48" s="330"/>
      <c r="F48" s="330"/>
    </row>
    <row r="49" spans="1:6" ht="16.5" hidden="1">
      <c r="A49" s="333" t="s">
        <v>338</v>
      </c>
      <c r="B49" s="330">
        <v>11400</v>
      </c>
      <c r="C49" s="330"/>
      <c r="D49" s="330"/>
      <c r="E49" s="330">
        <v>10000</v>
      </c>
      <c r="F49" s="330"/>
    </row>
    <row r="50" spans="1:6" ht="16.5" hidden="1">
      <c r="A50" s="333" t="s">
        <v>339</v>
      </c>
      <c r="B50" s="330">
        <v>34200</v>
      </c>
      <c r="C50" s="330"/>
      <c r="D50" s="330"/>
      <c r="E50" s="330"/>
      <c r="F50" s="330"/>
    </row>
    <row r="51" spans="1:6" ht="16.5" hidden="1">
      <c r="A51" s="333" t="s">
        <v>333</v>
      </c>
      <c r="B51" s="330">
        <f>2650+52850</f>
        <v>55500</v>
      </c>
      <c r="C51" s="330">
        <f>3900+34000</f>
        <v>37900</v>
      </c>
      <c r="D51" s="330">
        <f>1300+13600</f>
        <v>14900</v>
      </c>
      <c r="E51" s="330">
        <f>1300+17000</f>
        <v>18300</v>
      </c>
      <c r="F51" s="330">
        <f>5100+47600</f>
        <v>52700</v>
      </c>
    </row>
    <row r="52" spans="1:6" ht="16.5">
      <c r="A52" s="332" t="s">
        <v>51</v>
      </c>
      <c r="B52" s="330">
        <f>B53+B54</f>
        <v>66650</v>
      </c>
      <c r="C52" s="330">
        <f>C53+C54</f>
        <v>32950</v>
      </c>
      <c r="D52" s="330">
        <f>D53+D54</f>
        <v>35500</v>
      </c>
      <c r="E52" s="330">
        <f>E53+E54</f>
        <v>35850</v>
      </c>
      <c r="F52" s="330">
        <f>F53+F54</f>
        <v>35450</v>
      </c>
    </row>
    <row r="53" spans="1:6" ht="16.5" hidden="1">
      <c r="A53" s="335" t="s">
        <v>341</v>
      </c>
      <c r="B53" s="330">
        <v>63000</v>
      </c>
      <c r="C53" s="330">
        <v>32300</v>
      </c>
      <c r="D53" s="330">
        <v>33100</v>
      </c>
      <c r="E53" s="330">
        <v>33900</v>
      </c>
      <c r="F53" s="330">
        <v>34800</v>
      </c>
    </row>
    <row r="54" spans="1:6" ht="16.5" hidden="1">
      <c r="A54" s="333" t="s">
        <v>333</v>
      </c>
      <c r="B54" s="330">
        <v>3650</v>
      </c>
      <c r="C54" s="330">
        <v>650</v>
      </c>
      <c r="D54" s="330">
        <v>2400</v>
      </c>
      <c r="E54" s="330">
        <v>1950</v>
      </c>
      <c r="F54" s="330">
        <v>650</v>
      </c>
    </row>
    <row r="55" spans="1:6" ht="16.5">
      <c r="A55" s="336" t="s">
        <v>53</v>
      </c>
      <c r="B55" s="330">
        <f>B56</f>
        <v>1350</v>
      </c>
      <c r="C55" s="330">
        <f>C56</f>
        <v>0</v>
      </c>
      <c r="D55" s="330">
        <f>D56</f>
        <v>650</v>
      </c>
      <c r="E55" s="330">
        <f>E56</f>
        <v>2600</v>
      </c>
      <c r="F55" s="330">
        <f>F56</f>
        <v>3250</v>
      </c>
    </row>
    <row r="56" spans="1:6" ht="16.5" hidden="1">
      <c r="A56" s="333" t="s">
        <v>333</v>
      </c>
      <c r="B56" s="330">
        <v>1350</v>
      </c>
      <c r="C56" s="330"/>
      <c r="D56" s="330">
        <v>650</v>
      </c>
      <c r="E56" s="330">
        <v>2600</v>
      </c>
      <c r="F56" s="330">
        <v>3250</v>
      </c>
    </row>
    <row r="57" spans="1:6" ht="16.5">
      <c r="A57" s="332" t="s">
        <v>56</v>
      </c>
      <c r="B57" s="330">
        <f>B58</f>
        <v>1350</v>
      </c>
      <c r="C57" s="330">
        <f>C58</f>
        <v>0</v>
      </c>
      <c r="D57" s="330">
        <f>D58</f>
        <v>0</v>
      </c>
      <c r="E57" s="330">
        <f>E58</f>
        <v>0</v>
      </c>
      <c r="F57" s="330">
        <f>F58</f>
        <v>0</v>
      </c>
    </row>
    <row r="58" spans="1:6" ht="16.5" hidden="1">
      <c r="A58" s="333" t="s">
        <v>333</v>
      </c>
      <c r="B58" s="330">
        <v>1350</v>
      </c>
      <c r="C58" s="330"/>
      <c r="D58" s="330"/>
      <c r="E58" s="330"/>
      <c r="F58" s="330"/>
    </row>
    <row r="59" spans="1:6" ht="16.5">
      <c r="A59" s="332" t="s">
        <v>327</v>
      </c>
      <c r="B59" s="330">
        <f>SUM(B60:B75)</f>
        <v>276060</v>
      </c>
      <c r="C59" s="330">
        <f aca="true" t="shared" si="0" ref="C59:F59">SUM(C60:C75)</f>
        <v>403400</v>
      </c>
      <c r="D59" s="330">
        <f t="shared" si="0"/>
        <v>679100</v>
      </c>
      <c r="E59" s="330">
        <f t="shared" si="0"/>
        <v>531300</v>
      </c>
      <c r="F59" s="330">
        <f t="shared" si="0"/>
        <v>729100</v>
      </c>
    </row>
    <row r="60" spans="1:6" ht="16.5" hidden="1">
      <c r="A60" s="333" t="s">
        <v>199</v>
      </c>
      <c r="B60" s="330"/>
      <c r="C60" s="330">
        <v>285100</v>
      </c>
      <c r="D60" s="330"/>
      <c r="E60" s="330"/>
      <c r="F60" s="330"/>
    </row>
    <row r="61" spans="1:6" ht="16.5" hidden="1">
      <c r="A61" s="333" t="s">
        <v>191</v>
      </c>
      <c r="B61" s="330">
        <v>52950</v>
      </c>
      <c r="C61" s="330"/>
      <c r="D61" s="330">
        <v>49900</v>
      </c>
      <c r="E61" s="330"/>
      <c r="F61" s="330">
        <v>55200</v>
      </c>
    </row>
    <row r="62" spans="1:6" ht="16.5" hidden="1">
      <c r="A62" s="333" t="s">
        <v>185</v>
      </c>
      <c r="B62" s="330"/>
      <c r="C62" s="330"/>
      <c r="D62" s="330">
        <v>255600</v>
      </c>
      <c r="E62" s="330"/>
      <c r="F62" s="330"/>
    </row>
    <row r="63" spans="1:6" ht="16.5" hidden="1">
      <c r="A63" s="333" t="s">
        <v>206</v>
      </c>
      <c r="B63" s="330"/>
      <c r="C63" s="330"/>
      <c r="D63" s="330">
        <v>221600</v>
      </c>
      <c r="E63" s="330"/>
      <c r="F63" s="330">
        <v>236000</v>
      </c>
    </row>
    <row r="64" spans="1:6" ht="16.5" hidden="1">
      <c r="A64" s="333" t="s">
        <v>184</v>
      </c>
      <c r="B64" s="330"/>
      <c r="C64" s="330"/>
      <c r="D64" s="330"/>
      <c r="E64" s="330">
        <v>175500</v>
      </c>
      <c r="F64" s="330"/>
    </row>
    <row r="65" spans="1:6" ht="16.5" hidden="1">
      <c r="A65" s="333" t="s">
        <v>348</v>
      </c>
      <c r="B65" s="330"/>
      <c r="C65" s="330"/>
      <c r="D65" s="330"/>
      <c r="E65" s="330">
        <v>175500</v>
      </c>
      <c r="F65" s="330"/>
    </row>
    <row r="66" spans="1:6" ht="16.5" hidden="1">
      <c r="A66" s="333" t="s">
        <v>186</v>
      </c>
      <c r="B66" s="330"/>
      <c r="C66" s="330"/>
      <c r="D66" s="330"/>
      <c r="E66" s="330"/>
      <c r="F66" s="330">
        <v>271500</v>
      </c>
    </row>
    <row r="67" spans="1:6" ht="16.5" hidden="1">
      <c r="A67" s="333" t="s">
        <v>349</v>
      </c>
      <c r="B67" s="330"/>
      <c r="C67" s="330">
        <v>34000</v>
      </c>
      <c r="D67" s="330">
        <v>45400</v>
      </c>
      <c r="E67" s="330">
        <v>51400</v>
      </c>
      <c r="F67" s="330"/>
    </row>
    <row r="68" spans="1:6" ht="16.5" hidden="1">
      <c r="A68" s="333" t="s">
        <v>67</v>
      </c>
      <c r="B68" s="330"/>
      <c r="C68" s="330"/>
      <c r="D68" s="330">
        <v>18900</v>
      </c>
      <c r="E68" s="330"/>
      <c r="F68" s="330"/>
    </row>
    <row r="69" spans="1:6" ht="16.5" hidden="1">
      <c r="A69" s="333" t="s">
        <v>183</v>
      </c>
      <c r="B69" s="330"/>
      <c r="C69" s="330"/>
      <c r="D69" s="330"/>
      <c r="E69" s="330">
        <v>37800</v>
      </c>
      <c r="F69" s="330"/>
    </row>
    <row r="70" spans="1:6" ht="16.5" hidden="1">
      <c r="A70" s="333" t="s">
        <v>350</v>
      </c>
      <c r="B70" s="330"/>
      <c r="C70" s="330"/>
      <c r="D70" s="330"/>
      <c r="E70" s="330"/>
      <c r="F70" s="330">
        <v>56700</v>
      </c>
    </row>
    <row r="71" spans="1:6" ht="16.5" hidden="1">
      <c r="A71" s="333" t="s">
        <v>62</v>
      </c>
      <c r="B71" s="330">
        <v>49160</v>
      </c>
      <c r="C71" s="330">
        <v>35900</v>
      </c>
      <c r="D71" s="330">
        <v>37800</v>
      </c>
      <c r="E71" s="330">
        <v>39700</v>
      </c>
      <c r="F71" s="330">
        <v>41600</v>
      </c>
    </row>
    <row r="72" spans="1:6" ht="16.5" hidden="1">
      <c r="A72" s="333" t="s">
        <v>63</v>
      </c>
      <c r="B72" s="330">
        <v>98320</v>
      </c>
      <c r="C72" s="330"/>
      <c r="D72" s="330"/>
      <c r="E72" s="330"/>
      <c r="F72" s="330"/>
    </row>
    <row r="73" spans="1:6" ht="16.5" hidden="1">
      <c r="A73" s="333" t="s">
        <v>64</v>
      </c>
      <c r="B73" s="330">
        <v>15130</v>
      </c>
      <c r="C73" s="330">
        <v>15100</v>
      </c>
      <c r="D73" s="330">
        <v>15100</v>
      </c>
      <c r="E73" s="330">
        <v>15100</v>
      </c>
      <c r="F73" s="330">
        <v>30300</v>
      </c>
    </row>
    <row r="74" spans="1:6" ht="16.5" hidden="1">
      <c r="A74" s="333" t="s">
        <v>328</v>
      </c>
      <c r="B74" s="330">
        <v>30250</v>
      </c>
      <c r="C74" s="330"/>
      <c r="D74" s="330"/>
      <c r="E74" s="330"/>
      <c r="F74" s="330"/>
    </row>
    <row r="75" spans="1:6" ht="16.5" hidden="1">
      <c r="A75" s="333" t="s">
        <v>68</v>
      </c>
      <c r="B75" s="330">
        <v>30250</v>
      </c>
      <c r="C75" s="330">
        <v>33300</v>
      </c>
      <c r="D75" s="330">
        <v>34800</v>
      </c>
      <c r="E75" s="330">
        <v>36300</v>
      </c>
      <c r="F75" s="330">
        <v>37800</v>
      </c>
    </row>
    <row r="76" spans="1:6" ht="16.5">
      <c r="A76" s="332" t="s">
        <v>69</v>
      </c>
      <c r="B76" s="330">
        <f>B77+B78+B79</f>
        <v>62350</v>
      </c>
      <c r="C76" s="330">
        <f aca="true" t="shared" si="1" ref="C76:F76">C77+C78+C79</f>
        <v>25000</v>
      </c>
      <c r="D76" s="330">
        <f t="shared" si="1"/>
        <v>25000</v>
      </c>
      <c r="E76" s="330">
        <f t="shared" si="1"/>
        <v>26100</v>
      </c>
      <c r="F76" s="330">
        <f t="shared" si="1"/>
        <v>25000</v>
      </c>
    </row>
    <row r="77" spans="1:6" ht="16.5" hidden="1">
      <c r="A77" s="333" t="s">
        <v>351</v>
      </c>
      <c r="B77" s="330">
        <v>35000</v>
      </c>
      <c r="C77" s="330"/>
      <c r="D77" s="330"/>
      <c r="E77" s="330"/>
      <c r="F77" s="330"/>
    </row>
    <row r="78" spans="1:6" ht="16.5" hidden="1">
      <c r="A78" s="333" t="s">
        <v>352</v>
      </c>
      <c r="B78" s="330">
        <v>25000</v>
      </c>
      <c r="C78" s="330">
        <v>25000</v>
      </c>
      <c r="D78" s="330">
        <v>25000</v>
      </c>
      <c r="E78" s="330">
        <v>25000</v>
      </c>
      <c r="F78" s="330">
        <v>25000</v>
      </c>
    </row>
    <row r="79" spans="1:6" ht="16.5" hidden="1">
      <c r="A79" s="333" t="s">
        <v>333</v>
      </c>
      <c r="B79" s="330">
        <v>2350</v>
      </c>
      <c r="C79" s="330"/>
      <c r="D79" s="330"/>
      <c r="E79" s="330">
        <v>1100</v>
      </c>
      <c r="F79" s="330"/>
    </row>
    <row r="80" spans="1:6" ht="16.5">
      <c r="A80" s="332" t="s">
        <v>71</v>
      </c>
      <c r="B80" s="330">
        <f>B81+B82</f>
        <v>83000</v>
      </c>
      <c r="C80" s="330">
        <f aca="true" t="shared" si="2" ref="C80:F80">C81+C82</f>
        <v>44100</v>
      </c>
      <c r="D80" s="330">
        <f t="shared" si="2"/>
        <v>43700</v>
      </c>
      <c r="E80" s="330">
        <f t="shared" si="2"/>
        <v>45450</v>
      </c>
      <c r="F80" s="330">
        <f t="shared" si="2"/>
        <v>45900</v>
      </c>
    </row>
    <row r="81" spans="1:6" ht="16.5" hidden="1">
      <c r="A81" s="333" t="s">
        <v>353</v>
      </c>
      <c r="B81" s="330">
        <v>83000</v>
      </c>
      <c r="C81" s="330">
        <v>42600</v>
      </c>
      <c r="D81" s="330">
        <v>43700</v>
      </c>
      <c r="E81" s="330">
        <v>44800</v>
      </c>
      <c r="F81" s="330">
        <v>45900</v>
      </c>
    </row>
    <row r="82" spans="1:6" ht="16.5" hidden="1">
      <c r="A82" s="333" t="s">
        <v>333</v>
      </c>
      <c r="B82" s="330"/>
      <c r="C82" s="330">
        <v>1500</v>
      </c>
      <c r="D82" s="330"/>
      <c r="E82" s="330">
        <v>650</v>
      </c>
      <c r="F82" s="330"/>
    </row>
    <row r="83" spans="1:6" ht="16.5">
      <c r="A83" s="332" t="s">
        <v>72</v>
      </c>
      <c r="B83" s="330">
        <f>B84+B85+B86</f>
        <v>99200</v>
      </c>
      <c r="C83" s="330">
        <f aca="true" t="shared" si="3" ref="C83:F83">C84+C85+C86</f>
        <v>72600</v>
      </c>
      <c r="D83" s="330">
        <f t="shared" si="3"/>
        <v>73650</v>
      </c>
      <c r="E83" s="330">
        <f t="shared" si="3"/>
        <v>71300</v>
      </c>
      <c r="F83" s="330">
        <f t="shared" si="3"/>
        <v>70000</v>
      </c>
    </row>
    <row r="84" spans="1:6" ht="16.5" hidden="1">
      <c r="A84" s="335" t="s">
        <v>354</v>
      </c>
      <c r="B84" s="330">
        <v>67500</v>
      </c>
      <c r="C84" s="330">
        <v>70000</v>
      </c>
      <c r="D84" s="330">
        <v>70000</v>
      </c>
      <c r="E84" s="330">
        <v>70000</v>
      </c>
      <c r="F84" s="330">
        <v>70000</v>
      </c>
    </row>
    <row r="85" spans="1:6" ht="16.5" hidden="1">
      <c r="A85" s="335" t="s">
        <v>381</v>
      </c>
      <c r="B85" s="330">
        <v>25000</v>
      </c>
      <c r="C85" s="330"/>
      <c r="D85" s="330"/>
      <c r="E85" s="330"/>
      <c r="F85" s="330"/>
    </row>
    <row r="86" spans="1:6" ht="16.5" hidden="1">
      <c r="A86" s="333" t="s">
        <v>333</v>
      </c>
      <c r="B86" s="330">
        <v>6700</v>
      </c>
      <c r="C86" s="330">
        <v>2600</v>
      </c>
      <c r="D86" s="330">
        <v>3650</v>
      </c>
      <c r="E86" s="330">
        <v>1300</v>
      </c>
      <c r="F86" s="330"/>
    </row>
    <row r="87" spans="1:6" ht="16.5">
      <c r="A87" s="331" t="s">
        <v>74</v>
      </c>
      <c r="B87" s="330"/>
      <c r="C87" s="330"/>
      <c r="D87" s="330"/>
      <c r="E87" s="330"/>
      <c r="F87" s="330"/>
    </row>
    <row r="88" spans="1:6" ht="16.5">
      <c r="A88" s="332" t="s">
        <v>75</v>
      </c>
      <c r="B88" s="330">
        <f>B89</f>
        <v>1350</v>
      </c>
      <c r="C88" s="330">
        <f aca="true" t="shared" si="4" ref="C88:F88">C89</f>
        <v>0</v>
      </c>
      <c r="D88" s="330">
        <f t="shared" si="4"/>
        <v>1500</v>
      </c>
      <c r="E88" s="330">
        <f t="shared" si="4"/>
        <v>0</v>
      </c>
      <c r="F88" s="330">
        <f t="shared" si="4"/>
        <v>0</v>
      </c>
    </row>
    <row r="89" spans="1:6" ht="16.5" hidden="1">
      <c r="A89" s="333" t="s">
        <v>333</v>
      </c>
      <c r="B89" s="330">
        <v>1350</v>
      </c>
      <c r="C89" s="330"/>
      <c r="D89" s="330">
        <v>1500</v>
      </c>
      <c r="E89" s="330"/>
      <c r="F89" s="330"/>
    </row>
    <row r="90" spans="1:6" ht="16.5">
      <c r="A90" s="332" t="s">
        <v>76</v>
      </c>
      <c r="B90" s="330">
        <f>B91</f>
        <v>0</v>
      </c>
      <c r="C90" s="330">
        <f aca="true" t="shared" si="5" ref="C90:F90">C91</f>
        <v>0</v>
      </c>
      <c r="D90" s="330">
        <f t="shared" si="5"/>
        <v>650</v>
      </c>
      <c r="E90" s="330">
        <f t="shared" si="5"/>
        <v>3050</v>
      </c>
      <c r="F90" s="330">
        <f t="shared" si="5"/>
        <v>0</v>
      </c>
    </row>
    <row r="91" spans="1:6" ht="16.5" hidden="1">
      <c r="A91" s="333" t="s">
        <v>333</v>
      </c>
      <c r="B91" s="330"/>
      <c r="C91" s="330"/>
      <c r="D91" s="330">
        <v>650</v>
      </c>
      <c r="E91" s="330">
        <v>3050</v>
      </c>
      <c r="F91" s="330"/>
    </row>
    <row r="92" spans="1:6" ht="16.5">
      <c r="A92" s="337" t="s">
        <v>79</v>
      </c>
      <c r="B92" s="330">
        <f>SUM(B93:B103)</f>
        <v>640000</v>
      </c>
      <c r="C92" s="330">
        <f aca="true" t="shared" si="6" ref="C92:F92">SUM(C93:C103)</f>
        <v>620000</v>
      </c>
      <c r="D92" s="330">
        <f t="shared" si="6"/>
        <v>0</v>
      </c>
      <c r="E92" s="330">
        <f t="shared" si="6"/>
        <v>1300</v>
      </c>
      <c r="F92" s="330">
        <f t="shared" si="6"/>
        <v>270000</v>
      </c>
    </row>
    <row r="93" spans="1:6" ht="16.5" hidden="1">
      <c r="A93" s="333" t="s">
        <v>355</v>
      </c>
      <c r="B93" s="330">
        <v>224000</v>
      </c>
      <c r="C93" s="330"/>
      <c r="D93" s="330"/>
      <c r="E93" s="330"/>
      <c r="F93" s="330"/>
    </row>
    <row r="94" spans="1:6" ht="16.5" hidden="1">
      <c r="A94" s="333" t="s">
        <v>356</v>
      </c>
      <c r="B94" s="330">
        <v>215000</v>
      </c>
      <c r="C94" s="330">
        <v>430000</v>
      </c>
      <c r="D94" s="330"/>
      <c r="E94" s="330"/>
      <c r="F94" s="330"/>
    </row>
    <row r="95" spans="1:6" ht="16.5" hidden="1">
      <c r="A95" s="333" t="s">
        <v>357</v>
      </c>
      <c r="B95" s="330">
        <v>45000</v>
      </c>
      <c r="C95" s="330"/>
      <c r="D95" s="330"/>
      <c r="E95" s="330"/>
      <c r="F95" s="330"/>
    </row>
    <row r="96" spans="1:6" ht="16.5" hidden="1">
      <c r="A96" s="333" t="s">
        <v>81</v>
      </c>
      <c r="B96" s="330">
        <v>65500</v>
      </c>
      <c r="C96" s="330"/>
      <c r="D96" s="330"/>
      <c r="E96" s="330"/>
      <c r="F96" s="330"/>
    </row>
    <row r="97" spans="1:6" ht="16.5" hidden="1">
      <c r="A97" s="333" t="s">
        <v>358</v>
      </c>
      <c r="B97" s="330">
        <v>32000</v>
      </c>
      <c r="C97" s="330"/>
      <c r="D97" s="330"/>
      <c r="E97" s="330"/>
      <c r="F97" s="330"/>
    </row>
    <row r="98" spans="1:6" ht="16.5" hidden="1">
      <c r="A98" s="333" t="s">
        <v>359</v>
      </c>
      <c r="B98" s="330">
        <v>50200</v>
      </c>
      <c r="C98" s="330"/>
      <c r="D98" s="330"/>
      <c r="E98" s="330"/>
      <c r="F98" s="330"/>
    </row>
    <row r="99" spans="1:6" ht="16.5" hidden="1">
      <c r="A99" s="333" t="s">
        <v>360</v>
      </c>
      <c r="B99" s="330">
        <v>8300</v>
      </c>
      <c r="C99" s="330"/>
      <c r="D99" s="330"/>
      <c r="E99" s="330"/>
      <c r="F99" s="330"/>
    </row>
    <row r="100" spans="1:6" ht="16.5" hidden="1">
      <c r="A100" s="333" t="s">
        <v>361</v>
      </c>
      <c r="B100" s="330"/>
      <c r="C100" s="330">
        <v>160000</v>
      </c>
      <c r="D100" s="330"/>
      <c r="E100" s="330"/>
      <c r="F100" s="330"/>
    </row>
    <row r="101" spans="1:6" ht="16.5" hidden="1">
      <c r="A101" s="333" t="s">
        <v>362</v>
      </c>
      <c r="B101" s="330"/>
      <c r="C101" s="330">
        <v>30000</v>
      </c>
      <c r="D101" s="330"/>
      <c r="E101" s="330"/>
      <c r="F101" s="330"/>
    </row>
    <row r="102" spans="1:6" ht="16.5" hidden="1">
      <c r="A102" s="333" t="s">
        <v>363</v>
      </c>
      <c r="B102" s="330"/>
      <c r="C102" s="330"/>
      <c r="D102" s="330"/>
      <c r="E102" s="330"/>
      <c r="F102" s="330">
        <v>270000</v>
      </c>
    </row>
    <row r="103" spans="1:6" ht="16.5" hidden="1">
      <c r="A103" s="333" t="s">
        <v>333</v>
      </c>
      <c r="B103" s="330"/>
      <c r="C103" s="330"/>
      <c r="D103" s="330"/>
      <c r="E103" s="330">
        <v>1300</v>
      </c>
      <c r="F103" s="330"/>
    </row>
    <row r="104" spans="1:6" ht="16.5">
      <c r="A104" s="337" t="s">
        <v>83</v>
      </c>
      <c r="B104" s="330">
        <f>SUM(B105:B122)</f>
        <v>424900</v>
      </c>
      <c r="C104" s="330">
        <f aca="true" t="shared" si="7" ref="C104:F104">SUM(C105:C122)</f>
        <v>267400</v>
      </c>
      <c r="D104" s="330">
        <f t="shared" si="7"/>
        <v>228000</v>
      </c>
      <c r="E104" s="330">
        <f t="shared" si="7"/>
        <v>185650</v>
      </c>
      <c r="F104" s="330">
        <f t="shared" si="7"/>
        <v>56000</v>
      </c>
    </row>
    <row r="105" spans="1:6" ht="16.5" hidden="1">
      <c r="A105" s="333" t="s">
        <v>364</v>
      </c>
      <c r="B105" s="330">
        <v>115000</v>
      </c>
      <c r="C105" s="330"/>
      <c r="D105" s="330"/>
      <c r="E105" s="330"/>
      <c r="F105" s="330"/>
    </row>
    <row r="106" spans="1:6" ht="16.5" hidden="1">
      <c r="A106" s="333" t="s">
        <v>365</v>
      </c>
      <c r="B106" s="330">
        <v>164000</v>
      </c>
      <c r="C106" s="330"/>
      <c r="D106" s="330"/>
      <c r="E106" s="330"/>
      <c r="F106" s="330"/>
    </row>
    <row r="107" spans="1:6" ht="16.5" hidden="1">
      <c r="A107" s="333" t="s">
        <v>366</v>
      </c>
      <c r="B107" s="330">
        <v>65500</v>
      </c>
      <c r="C107" s="330"/>
      <c r="D107" s="330"/>
      <c r="E107" s="330">
        <v>65000</v>
      </c>
      <c r="F107" s="330"/>
    </row>
    <row r="108" spans="1:6" ht="16.5" hidden="1">
      <c r="A108" s="333" t="s">
        <v>89</v>
      </c>
      <c r="B108" s="330">
        <v>56000</v>
      </c>
      <c r="C108" s="330"/>
      <c r="D108" s="330">
        <v>50000</v>
      </c>
      <c r="E108" s="330">
        <v>30000</v>
      </c>
      <c r="F108" s="330"/>
    </row>
    <row r="109" spans="1:6" ht="16.5" hidden="1">
      <c r="A109" s="333" t="s">
        <v>367</v>
      </c>
      <c r="B109" s="330">
        <v>11500</v>
      </c>
      <c r="C109" s="330"/>
      <c r="D109" s="330"/>
      <c r="E109" s="330"/>
      <c r="F109" s="330"/>
    </row>
    <row r="110" spans="1:6" ht="16.5" hidden="1">
      <c r="A110" s="333" t="s">
        <v>368</v>
      </c>
      <c r="B110" s="330">
        <v>8000</v>
      </c>
      <c r="C110" s="330"/>
      <c r="D110" s="330"/>
      <c r="E110" s="330"/>
      <c r="F110" s="330"/>
    </row>
    <row r="111" spans="1:6" ht="16.5" hidden="1">
      <c r="A111" s="333" t="s">
        <v>369</v>
      </c>
      <c r="B111" s="330">
        <v>4900</v>
      </c>
      <c r="C111" s="330"/>
      <c r="D111" s="330"/>
      <c r="E111" s="330"/>
      <c r="F111" s="330"/>
    </row>
    <row r="112" spans="1:6" ht="16.5" hidden="1">
      <c r="A112" s="333" t="s">
        <v>370</v>
      </c>
      <c r="B112" s="330"/>
      <c r="C112" s="330">
        <v>80000</v>
      </c>
      <c r="D112" s="330"/>
      <c r="E112" s="330"/>
      <c r="F112" s="330"/>
    </row>
    <row r="113" spans="1:6" ht="16.5" hidden="1">
      <c r="A113" s="333" t="s">
        <v>371</v>
      </c>
      <c r="B113" s="330"/>
      <c r="C113" s="330">
        <f>150000-86750</f>
        <v>63250</v>
      </c>
      <c r="D113" s="330"/>
      <c r="E113" s="330"/>
      <c r="F113" s="330"/>
    </row>
    <row r="114" spans="1:6" ht="16.5" hidden="1">
      <c r="A114" s="333" t="s">
        <v>372</v>
      </c>
      <c r="B114" s="330"/>
      <c r="C114" s="330">
        <v>32000</v>
      </c>
      <c r="D114" s="330"/>
      <c r="E114" s="330"/>
      <c r="F114" s="330"/>
    </row>
    <row r="115" spans="1:6" ht="16.5" hidden="1">
      <c r="A115" s="333" t="s">
        <v>373</v>
      </c>
      <c r="B115" s="330"/>
      <c r="C115" s="330">
        <v>90000</v>
      </c>
      <c r="D115" s="330"/>
      <c r="E115" s="330"/>
      <c r="F115" s="330"/>
    </row>
    <row r="116" spans="1:6" ht="16.5" hidden="1">
      <c r="A116" s="333" t="s">
        <v>374</v>
      </c>
      <c r="B116" s="330"/>
      <c r="C116" s="330"/>
      <c r="D116" s="330">
        <v>160000</v>
      </c>
      <c r="E116" s="330"/>
      <c r="F116" s="330"/>
    </row>
    <row r="117" spans="1:6" ht="16.5" hidden="1">
      <c r="A117" s="333" t="s">
        <v>375</v>
      </c>
      <c r="B117" s="330"/>
      <c r="C117" s="330"/>
      <c r="D117" s="330">
        <v>18000</v>
      </c>
      <c r="E117" s="330"/>
      <c r="F117" s="330"/>
    </row>
    <row r="118" spans="1:6" ht="16.5" hidden="1">
      <c r="A118" s="333" t="s">
        <v>376</v>
      </c>
      <c r="B118" s="330"/>
      <c r="C118" s="330"/>
      <c r="D118" s="330"/>
      <c r="E118" s="330">
        <v>60000</v>
      </c>
      <c r="F118" s="330"/>
    </row>
    <row r="119" spans="1:6" ht="16.5" hidden="1">
      <c r="A119" s="333" t="s">
        <v>377</v>
      </c>
      <c r="B119" s="330"/>
      <c r="C119" s="330"/>
      <c r="D119" s="330"/>
      <c r="E119" s="330">
        <v>30000</v>
      </c>
      <c r="F119" s="330"/>
    </row>
    <row r="120" spans="1:6" ht="16.5" hidden="1">
      <c r="A120" s="333" t="s">
        <v>378</v>
      </c>
      <c r="B120" s="330"/>
      <c r="C120" s="330"/>
      <c r="D120" s="330"/>
      <c r="E120" s="330"/>
      <c r="F120" s="330">
        <v>6000</v>
      </c>
    </row>
    <row r="121" spans="1:6" ht="16.5" hidden="1">
      <c r="A121" s="333" t="s">
        <v>379</v>
      </c>
      <c r="B121" s="330"/>
      <c r="C121" s="330"/>
      <c r="D121" s="330"/>
      <c r="E121" s="330"/>
      <c r="F121" s="330">
        <v>50000</v>
      </c>
    </row>
    <row r="122" spans="1:6" ht="16.5" hidden="1">
      <c r="A122" s="333" t="s">
        <v>333</v>
      </c>
      <c r="B122" s="330"/>
      <c r="C122" s="330">
        <v>2150</v>
      </c>
      <c r="D122" s="330"/>
      <c r="E122" s="330">
        <v>650</v>
      </c>
      <c r="F122" s="330"/>
    </row>
    <row r="123" spans="1:6" ht="16.5">
      <c r="A123" s="337" t="s">
        <v>90</v>
      </c>
      <c r="B123" s="330">
        <f>B124</f>
        <v>0</v>
      </c>
      <c r="C123" s="330">
        <f aca="true" t="shared" si="8" ref="C123:F123">C124</f>
        <v>0</v>
      </c>
      <c r="D123" s="330">
        <f t="shared" si="8"/>
        <v>1300</v>
      </c>
      <c r="E123" s="330">
        <f t="shared" si="8"/>
        <v>650</v>
      </c>
      <c r="F123" s="330">
        <f t="shared" si="8"/>
        <v>0</v>
      </c>
    </row>
    <row r="124" spans="1:6" ht="16.5" hidden="1">
      <c r="A124" s="333" t="s">
        <v>333</v>
      </c>
      <c r="B124" s="330"/>
      <c r="C124" s="330"/>
      <c r="D124" s="330">
        <v>1300</v>
      </c>
      <c r="E124" s="330">
        <v>650</v>
      </c>
      <c r="F124" s="330"/>
    </row>
    <row r="125" spans="1:6" ht="16.5">
      <c r="A125" s="337" t="s">
        <v>92</v>
      </c>
      <c r="B125" s="330">
        <f>B126+B127</f>
        <v>3250</v>
      </c>
      <c r="C125" s="330">
        <f aca="true" t="shared" si="9" ref="C125:F125">C126+C127</f>
        <v>0</v>
      </c>
      <c r="D125" s="330">
        <f t="shared" si="9"/>
        <v>3500</v>
      </c>
      <c r="E125" s="330">
        <f t="shared" si="9"/>
        <v>33750</v>
      </c>
      <c r="F125" s="330">
        <f t="shared" si="9"/>
        <v>2200</v>
      </c>
    </row>
    <row r="126" spans="1:6" ht="16.5" hidden="1">
      <c r="A126" s="333" t="s">
        <v>380</v>
      </c>
      <c r="B126" s="330"/>
      <c r="C126" s="330"/>
      <c r="D126" s="330"/>
      <c r="E126" s="330">
        <v>32000</v>
      </c>
      <c r="F126" s="330"/>
    </row>
    <row r="127" spans="1:6" ht="16.5" hidden="1">
      <c r="A127" s="333" t="s">
        <v>333</v>
      </c>
      <c r="B127" s="330">
        <v>3250</v>
      </c>
      <c r="C127" s="330"/>
      <c r="D127" s="330">
        <v>3500</v>
      </c>
      <c r="E127" s="330">
        <v>1750</v>
      </c>
      <c r="F127" s="330">
        <v>2200</v>
      </c>
    </row>
    <row r="128" spans="1:6" ht="16.5">
      <c r="A128" s="337" t="s">
        <v>96</v>
      </c>
      <c r="B128" s="330">
        <f>B129</f>
        <v>0</v>
      </c>
      <c r="C128" s="330">
        <f aca="true" t="shared" si="10" ref="C128:F128">C129</f>
        <v>0</v>
      </c>
      <c r="D128" s="330">
        <f t="shared" si="10"/>
        <v>1100</v>
      </c>
      <c r="E128" s="330">
        <f t="shared" si="10"/>
        <v>0</v>
      </c>
      <c r="F128" s="330">
        <f t="shared" si="10"/>
        <v>1100</v>
      </c>
    </row>
    <row r="129" spans="1:6" ht="16.5" hidden="1">
      <c r="A129" s="333" t="s">
        <v>333</v>
      </c>
      <c r="B129" s="330"/>
      <c r="C129" s="330"/>
      <c r="D129" s="330">
        <v>1100</v>
      </c>
      <c r="E129" s="330"/>
      <c r="F129" s="330">
        <v>1100</v>
      </c>
    </row>
    <row r="130" spans="1:6" ht="16.5">
      <c r="A130" s="332" t="s">
        <v>100</v>
      </c>
      <c r="B130" s="330">
        <f>B131</f>
        <v>0</v>
      </c>
      <c r="C130" s="330">
        <f aca="true" t="shared" si="11" ref="C130:F130">C131</f>
        <v>5650</v>
      </c>
      <c r="D130" s="330">
        <f t="shared" si="11"/>
        <v>0</v>
      </c>
      <c r="E130" s="330">
        <f t="shared" si="11"/>
        <v>1300</v>
      </c>
      <c r="F130" s="330">
        <f t="shared" si="11"/>
        <v>650</v>
      </c>
    </row>
    <row r="131" spans="1:6" ht="16.5" hidden="1">
      <c r="A131" s="333" t="s">
        <v>333</v>
      </c>
      <c r="B131" s="330"/>
      <c r="C131" s="330">
        <v>5650</v>
      </c>
      <c r="D131" s="330"/>
      <c r="E131" s="330">
        <v>1300</v>
      </c>
      <c r="F131" s="330">
        <v>650</v>
      </c>
    </row>
    <row r="132" spans="1:6" ht="16.5">
      <c r="A132" s="331" t="s">
        <v>105</v>
      </c>
      <c r="B132" s="330"/>
      <c r="C132" s="330"/>
      <c r="D132" s="330"/>
      <c r="E132" s="330"/>
      <c r="F132" s="330"/>
    </row>
    <row r="133" spans="1:6" ht="16.5">
      <c r="A133" s="332" t="s">
        <v>106</v>
      </c>
      <c r="B133" s="330">
        <f>B134+B135</f>
        <v>8600</v>
      </c>
      <c r="C133" s="330">
        <f aca="true" t="shared" si="12" ref="C133:F133">C134+C135</f>
        <v>650</v>
      </c>
      <c r="D133" s="330">
        <f t="shared" si="12"/>
        <v>1300</v>
      </c>
      <c r="E133" s="330">
        <f t="shared" si="12"/>
        <v>650</v>
      </c>
      <c r="F133" s="330">
        <f t="shared" si="12"/>
        <v>1300</v>
      </c>
    </row>
    <row r="134" spans="1:6" ht="16.5" hidden="1">
      <c r="A134" s="338" t="s">
        <v>95</v>
      </c>
      <c r="B134" s="330">
        <v>8600</v>
      </c>
      <c r="C134" s="330"/>
      <c r="D134" s="330"/>
      <c r="E134" s="330"/>
      <c r="F134" s="330"/>
    </row>
    <row r="135" spans="1:6" ht="16.5" hidden="1">
      <c r="A135" s="333" t="s">
        <v>333</v>
      </c>
      <c r="B135" s="330"/>
      <c r="C135" s="330">
        <v>650</v>
      </c>
      <c r="D135" s="330">
        <v>1300</v>
      </c>
      <c r="E135" s="330">
        <v>650</v>
      </c>
      <c r="F135" s="330">
        <v>1300</v>
      </c>
    </row>
    <row r="136" spans="1:6" ht="16.5">
      <c r="A136" s="332" t="s">
        <v>107</v>
      </c>
      <c r="B136" s="330">
        <f>B137+B138+B139</f>
        <v>230250</v>
      </c>
      <c r="C136" s="330">
        <f aca="true" t="shared" si="13" ref="C136:F136">C137+C138+C139</f>
        <v>35050</v>
      </c>
      <c r="D136" s="330">
        <f t="shared" si="13"/>
        <v>38900</v>
      </c>
      <c r="E136" s="330">
        <f t="shared" si="13"/>
        <v>38300</v>
      </c>
      <c r="F136" s="330">
        <f t="shared" si="13"/>
        <v>44100</v>
      </c>
    </row>
    <row r="137" spans="1:6" ht="16.5" hidden="1">
      <c r="A137" s="335" t="s">
        <v>382</v>
      </c>
      <c r="B137" s="330">
        <v>125000</v>
      </c>
      <c r="C137" s="330"/>
      <c r="D137" s="330"/>
      <c r="E137" s="330"/>
      <c r="F137" s="330"/>
    </row>
    <row r="138" spans="1:6" ht="33" hidden="1">
      <c r="A138" s="335" t="s">
        <v>333</v>
      </c>
      <c r="B138" s="330">
        <v>4000</v>
      </c>
      <c r="C138" s="330">
        <v>1300</v>
      </c>
      <c r="D138" s="330">
        <v>3900</v>
      </c>
      <c r="E138" s="330">
        <v>1300</v>
      </c>
      <c r="F138" s="330">
        <v>4100</v>
      </c>
    </row>
    <row r="139" spans="1:6" ht="16.5" hidden="1">
      <c r="A139" s="335" t="s">
        <v>383</v>
      </c>
      <c r="B139" s="330">
        <v>101250</v>
      </c>
      <c r="C139" s="330">
        <v>33750</v>
      </c>
      <c r="D139" s="330">
        <v>35000</v>
      </c>
      <c r="E139" s="330">
        <v>37000</v>
      </c>
      <c r="F139" s="330">
        <v>40000</v>
      </c>
    </row>
    <row r="140" spans="1:6" ht="18.75">
      <c r="A140" s="347" t="s">
        <v>329</v>
      </c>
      <c r="B140" s="341">
        <f>B136+B133+B130+B128+B125+B123+B104+B92+B90+B88+B83+B80+B76+B59+B57+B55+B52+B36+B34+B32+B29+B23+B21+B19+B17+B15+B13+B10</f>
        <v>2644660</v>
      </c>
      <c r="C140" s="341">
        <f>C136+C133+C130+C128+C125+C123+C104+C92+C90+C88+C83+C80+C76+C59+C57+C55+C52+C36+C34+C32+C29+C23+C21+C19+C17+C15+C13+C10</f>
        <v>2062450</v>
      </c>
      <c r="D140" s="341">
        <f>D136+D133+D130+D128+D125+D123+D104+D92+D90+D88+D83+D80+D76+D59+D57+D55+D52+D36+D34+D32+D29+D23+D21+D19+D17+D15+D13+D10</f>
        <v>1607150</v>
      </c>
      <c r="E140" s="341">
        <f>E136+E133+E130+E128+E125+E123+E104+E92+E90+E88+E83+E80+E76+E59+E57+E55+E52+E36+E34+E32+E29+E23+E21+E19+E17+E15+E13+E10</f>
        <v>1430750</v>
      </c>
      <c r="F140" s="341">
        <f>F136+F133+F130+F128+F125+F123+F104+F92+F90+F88+F83+F80+F76+F59+F57+F55+F52+F36+F34+F32+F29+F23+F21+F19+F17+F15+F13+F10</f>
        <v>1782400</v>
      </c>
    </row>
    <row r="141" spans="1:6" ht="16.5">
      <c r="A141" s="347" t="s">
        <v>5</v>
      </c>
      <c r="B141" s="348">
        <f>B8-B140</f>
        <v>-227560</v>
      </c>
      <c r="C141" s="348">
        <f>C8-C140</f>
        <v>162550</v>
      </c>
      <c r="D141" s="348">
        <f>D8-D140</f>
        <v>117850</v>
      </c>
      <c r="E141" s="348">
        <f>E8-E140</f>
        <v>-105750</v>
      </c>
      <c r="F141" s="348">
        <f>F8-F140</f>
        <v>-57400</v>
      </c>
    </row>
    <row r="142" spans="1:6" ht="18.75">
      <c r="A142" s="346" t="s">
        <v>6</v>
      </c>
      <c r="B142" s="349">
        <f>B2+B141</f>
        <v>195883</v>
      </c>
      <c r="C142" s="349">
        <f>C2+C141</f>
        <v>358433</v>
      </c>
      <c r="D142" s="349">
        <f>D2+D141</f>
        <v>476283</v>
      </c>
      <c r="E142" s="349">
        <f>E2+E141</f>
        <v>370533</v>
      </c>
      <c r="F142" s="349">
        <f>F2+F141</f>
        <v>313133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2"/>
  <sheetViews>
    <sheetView zoomScale="80" zoomScaleNormal="80" workbookViewId="0" topLeftCell="A4">
      <selection activeCell="M21" sqref="M21"/>
    </sheetView>
  </sheetViews>
  <sheetFormatPr defaultColWidth="9.00390625" defaultRowHeight="15.75"/>
  <cols>
    <col min="1" max="1" width="39.50390625" style="364" bestFit="1" customWidth="1"/>
    <col min="2" max="3" width="9.875" style="364" hidden="1" customWidth="1"/>
    <col min="4" max="4" width="9.625" style="364" hidden="1" customWidth="1"/>
    <col min="5" max="5" width="9.875" style="406" hidden="1" customWidth="1"/>
    <col min="6" max="6" width="10.00390625" style="406" hidden="1" customWidth="1"/>
    <col min="7" max="8" width="10.00390625" style="364" hidden="1" customWidth="1"/>
    <col min="9" max="9" width="11.125" style="364" bestFit="1" customWidth="1"/>
    <col min="10" max="17" width="12.00390625" style="364" bestFit="1" customWidth="1"/>
    <col min="18" max="18" width="0.6171875" style="364" customWidth="1"/>
    <col min="19" max="19" width="10.625" style="365" customWidth="1"/>
    <col min="20" max="20" width="11.00390625" style="366" bestFit="1" customWidth="1"/>
    <col min="21" max="21" width="9.00390625" style="364" customWidth="1"/>
    <col min="22" max="34" width="9.375" style="364" bestFit="1" customWidth="1"/>
    <col min="35" max="38" width="10.375" style="364" bestFit="1" customWidth="1"/>
    <col min="39" max="16384" width="9.00390625" style="364" customWidth="1"/>
  </cols>
  <sheetData>
    <row r="1" spans="1:17" ht="15.75">
      <c r="A1" s="359" t="s">
        <v>604</v>
      </c>
      <c r="B1" s="360"/>
      <c r="C1" s="360"/>
      <c r="D1" s="360"/>
      <c r="E1" s="361"/>
      <c r="F1" s="360"/>
      <c r="G1" s="360"/>
      <c r="H1" s="362"/>
      <c r="I1" s="363"/>
      <c r="J1" s="363"/>
      <c r="K1" s="363"/>
      <c r="L1" s="363" t="s">
        <v>605</v>
      </c>
      <c r="M1" s="363" t="s">
        <v>605</v>
      </c>
      <c r="N1" s="363" t="s">
        <v>605</v>
      </c>
      <c r="O1" s="363" t="s">
        <v>605</v>
      </c>
      <c r="P1" s="363" t="s">
        <v>605</v>
      </c>
      <c r="Q1" s="363" t="s">
        <v>605</v>
      </c>
    </row>
    <row r="2" spans="1:22" ht="15.75">
      <c r="A2" s="359" t="s">
        <v>606</v>
      </c>
      <c r="B2" s="367">
        <v>2010</v>
      </c>
      <c r="C2" s="367">
        <f>+B2+1</f>
        <v>2011</v>
      </c>
      <c r="D2" s="368">
        <f>+C2+1</f>
        <v>2012</v>
      </c>
      <c r="E2" s="367">
        <v>2013</v>
      </c>
      <c r="F2" s="367">
        <f>E2+1</f>
        <v>2014</v>
      </c>
      <c r="G2" s="368">
        <f aca="true" t="shared" si="0" ref="G2:M2">+F2+1</f>
        <v>2015</v>
      </c>
      <c r="H2" s="367">
        <f t="shared" si="0"/>
        <v>2016</v>
      </c>
      <c r="I2" s="367">
        <f t="shared" si="0"/>
        <v>2017</v>
      </c>
      <c r="J2" s="367">
        <f t="shared" si="0"/>
        <v>2018</v>
      </c>
      <c r="K2" s="367">
        <f t="shared" si="0"/>
        <v>2019</v>
      </c>
      <c r="L2" s="367">
        <f t="shared" si="0"/>
        <v>2020</v>
      </c>
      <c r="M2" s="367">
        <f t="shared" si="0"/>
        <v>2021</v>
      </c>
      <c r="N2" s="367">
        <f>+M2+1</f>
        <v>2022</v>
      </c>
      <c r="O2" s="367">
        <f>+N2+1</f>
        <v>2023</v>
      </c>
      <c r="P2" s="367">
        <f>+O2+1</f>
        <v>2024</v>
      </c>
      <c r="Q2" s="367">
        <f>+P2+1</f>
        <v>2025</v>
      </c>
      <c r="R2" s="369"/>
      <c r="S2" s="370" t="s">
        <v>118</v>
      </c>
      <c r="V2" s="364" t="s">
        <v>607</v>
      </c>
    </row>
    <row r="3" spans="1:18" ht="15.75">
      <c r="A3" s="360"/>
      <c r="B3" s="371"/>
      <c r="C3" s="371"/>
      <c r="D3" s="371"/>
      <c r="E3" s="372"/>
      <c r="F3" s="373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4"/>
    </row>
    <row r="4" spans="1:38" ht="18.75">
      <c r="A4" s="359" t="s">
        <v>608</v>
      </c>
      <c r="B4" s="375">
        <v>733115</v>
      </c>
      <c r="C4" s="375">
        <f>+B67</f>
        <v>753655</v>
      </c>
      <c r="D4" s="375">
        <f>+C67-4732</f>
        <v>524776</v>
      </c>
      <c r="E4" s="376">
        <v>324601</v>
      </c>
      <c r="F4" s="376">
        <f>E67</f>
        <v>449752</v>
      </c>
      <c r="G4" s="375">
        <f>+F67</f>
        <v>55684</v>
      </c>
      <c r="H4" s="375">
        <f aca="true" t="shared" si="1" ref="H4:Q4">+G67</f>
        <v>-12413</v>
      </c>
      <c r="I4" s="375">
        <f t="shared" si="1"/>
        <v>458790</v>
      </c>
      <c r="J4" s="375">
        <f t="shared" si="1"/>
        <v>279190</v>
      </c>
      <c r="K4" s="375">
        <f t="shared" si="1"/>
        <v>1669831.3556999997</v>
      </c>
      <c r="L4" s="375">
        <f t="shared" si="1"/>
        <v>1739213.3656999997</v>
      </c>
      <c r="M4" s="375">
        <f t="shared" si="1"/>
        <v>886844.3656999997</v>
      </c>
      <c r="N4" s="375">
        <f t="shared" si="1"/>
        <v>694844.3656999997</v>
      </c>
      <c r="O4" s="375">
        <f t="shared" si="1"/>
        <v>651244.3656999997</v>
      </c>
      <c r="P4" s="375">
        <f t="shared" si="1"/>
        <v>956744.3656999997</v>
      </c>
      <c r="Q4" s="375">
        <f t="shared" si="1"/>
        <v>1268344.3656999997</v>
      </c>
      <c r="R4" s="377"/>
      <c r="S4" s="378"/>
      <c r="V4" s="379">
        <v>2012</v>
      </c>
      <c r="W4" s="379">
        <f aca="true" t="shared" si="2" ref="W4:AL4">+V4+1</f>
        <v>2013</v>
      </c>
      <c r="X4" s="379">
        <f t="shared" si="2"/>
        <v>2014</v>
      </c>
      <c r="Y4" s="379">
        <f t="shared" si="2"/>
        <v>2015</v>
      </c>
      <c r="Z4" s="379">
        <f t="shared" si="2"/>
        <v>2016</v>
      </c>
      <c r="AA4" s="379">
        <f t="shared" si="2"/>
        <v>2017</v>
      </c>
      <c r="AB4" s="379">
        <f t="shared" si="2"/>
        <v>2018</v>
      </c>
      <c r="AC4" s="379">
        <f t="shared" si="2"/>
        <v>2019</v>
      </c>
      <c r="AD4" s="379">
        <f t="shared" si="2"/>
        <v>2020</v>
      </c>
      <c r="AE4" s="379">
        <f t="shared" si="2"/>
        <v>2021</v>
      </c>
      <c r="AF4" s="379">
        <f t="shared" si="2"/>
        <v>2022</v>
      </c>
      <c r="AG4" s="379">
        <f t="shared" si="2"/>
        <v>2023</v>
      </c>
      <c r="AH4" s="379">
        <f t="shared" si="2"/>
        <v>2024</v>
      </c>
      <c r="AI4" s="379">
        <f t="shared" si="2"/>
        <v>2025</v>
      </c>
      <c r="AJ4" s="379">
        <f t="shared" si="2"/>
        <v>2026</v>
      </c>
      <c r="AK4" s="379">
        <f t="shared" si="2"/>
        <v>2027</v>
      </c>
      <c r="AL4" s="379">
        <f t="shared" si="2"/>
        <v>2028</v>
      </c>
    </row>
    <row r="5" spans="1:18" ht="15.75">
      <c r="A5" s="360"/>
      <c r="B5" s="360"/>
      <c r="C5" s="360"/>
      <c r="D5" s="360"/>
      <c r="E5" s="380"/>
      <c r="F5" s="38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81"/>
    </row>
    <row r="6" spans="1:38" ht="15.75">
      <c r="A6" s="382" t="s">
        <v>119</v>
      </c>
      <c r="B6" s="360"/>
      <c r="C6" s="360"/>
      <c r="D6" s="360"/>
      <c r="E6" s="380"/>
      <c r="F6" s="380"/>
      <c r="G6" s="360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1"/>
      <c r="V6" s="384">
        <v>1567</v>
      </c>
      <c r="W6" s="384">
        <f aca="true" t="shared" si="3" ref="W6:AL6">ROUND(V6*1.02,0)</f>
        <v>1598</v>
      </c>
      <c r="X6" s="384">
        <f t="shared" si="3"/>
        <v>1630</v>
      </c>
      <c r="Y6" s="384">
        <f t="shared" si="3"/>
        <v>1663</v>
      </c>
      <c r="Z6" s="384">
        <f t="shared" si="3"/>
        <v>1696</v>
      </c>
      <c r="AA6" s="384">
        <f t="shared" si="3"/>
        <v>1730</v>
      </c>
      <c r="AB6" s="384">
        <f t="shared" si="3"/>
        <v>1765</v>
      </c>
      <c r="AC6" s="384">
        <f t="shared" si="3"/>
        <v>1800</v>
      </c>
      <c r="AD6" s="384">
        <f t="shared" si="3"/>
        <v>1836</v>
      </c>
      <c r="AE6" s="384">
        <f t="shared" si="3"/>
        <v>1873</v>
      </c>
      <c r="AF6" s="384">
        <f t="shared" si="3"/>
        <v>1910</v>
      </c>
      <c r="AG6" s="384">
        <f t="shared" si="3"/>
        <v>1948</v>
      </c>
      <c r="AH6" s="384">
        <f t="shared" si="3"/>
        <v>1987</v>
      </c>
      <c r="AI6" s="384">
        <f t="shared" si="3"/>
        <v>2027</v>
      </c>
      <c r="AJ6" s="384">
        <f t="shared" si="3"/>
        <v>2068</v>
      </c>
      <c r="AK6" s="384">
        <f t="shared" si="3"/>
        <v>2109</v>
      </c>
      <c r="AL6" s="384">
        <f t="shared" si="3"/>
        <v>2151</v>
      </c>
    </row>
    <row r="7" spans="1:38" ht="15.75">
      <c r="A7" s="360" t="s">
        <v>120</v>
      </c>
      <c r="B7" s="385">
        <v>175313</v>
      </c>
      <c r="C7" s="385">
        <v>42050</v>
      </c>
      <c r="D7" s="385">
        <v>175917</v>
      </c>
      <c r="E7" s="386">
        <v>380312</v>
      </c>
      <c r="F7" s="386">
        <v>915197</v>
      </c>
      <c r="G7" s="385">
        <f>1079509</f>
        <v>1079509</v>
      </c>
      <c r="H7" s="385">
        <v>1365905</v>
      </c>
      <c r="I7" s="383">
        <v>1058534</v>
      </c>
      <c r="J7" s="385">
        <f>1339427.9+795829</f>
        <v>2135256.9</v>
      </c>
      <c r="K7" s="383">
        <v>1429351.65</v>
      </c>
      <c r="L7" s="383">
        <v>770443</v>
      </c>
      <c r="M7" s="385">
        <f>(600000-150000)*0.65</f>
        <v>292500</v>
      </c>
      <c r="N7" s="385">
        <f>(600000-150000)*0.65</f>
        <v>292500</v>
      </c>
      <c r="O7" s="385">
        <f>(600000-150000)*0.65</f>
        <v>292500</v>
      </c>
      <c r="P7" s="385">
        <f>(600000-150000)*0.65</f>
        <v>292500</v>
      </c>
      <c r="Q7" s="385">
        <v>0</v>
      </c>
      <c r="R7" s="387"/>
      <c r="S7" s="388">
        <f>SUM(B7:J7)</f>
        <v>7327993.9</v>
      </c>
      <c r="V7" s="389">
        <v>50</v>
      </c>
      <c r="W7" s="389">
        <v>50</v>
      </c>
      <c r="X7" s="389">
        <v>50</v>
      </c>
      <c r="Y7" s="389">
        <v>50</v>
      </c>
      <c r="Z7" s="389">
        <v>50</v>
      </c>
      <c r="AA7" s="389">
        <v>50</v>
      </c>
      <c r="AB7" s="389">
        <v>50</v>
      </c>
      <c r="AC7" s="389">
        <v>50</v>
      </c>
      <c r="AD7" s="389">
        <v>50</v>
      </c>
      <c r="AE7" s="389">
        <v>50</v>
      </c>
      <c r="AF7" s="389">
        <v>50</v>
      </c>
      <c r="AG7" s="389">
        <v>50</v>
      </c>
      <c r="AH7" s="389">
        <v>50</v>
      </c>
      <c r="AI7" s="389">
        <v>50</v>
      </c>
      <c r="AJ7" s="389">
        <v>50</v>
      </c>
      <c r="AK7" s="389">
        <v>50</v>
      </c>
      <c r="AL7" s="389">
        <v>50</v>
      </c>
    </row>
    <row r="8" spans="1:38" ht="15.75">
      <c r="A8" s="360" t="s">
        <v>121</v>
      </c>
      <c r="B8" s="385">
        <v>10969</v>
      </c>
      <c r="C8" s="385">
        <f>14773+9704</f>
        <v>24477</v>
      </c>
      <c r="D8" s="385">
        <v>763</v>
      </c>
      <c r="E8" s="386">
        <v>-3428</v>
      </c>
      <c r="F8" s="386">
        <v>-27</v>
      </c>
      <c r="G8" s="385">
        <v>-162</v>
      </c>
      <c r="H8" s="385">
        <v>6132</v>
      </c>
      <c r="I8" s="385">
        <v>8529</v>
      </c>
      <c r="J8" s="385">
        <f>12377.39+5343.12</f>
        <v>17720.51</v>
      </c>
      <c r="K8" s="385">
        <f>17254.2+2245.8</f>
        <v>19500</v>
      </c>
      <c r="L8" s="385">
        <f>ROUND(L4*0.0175,-2)</f>
        <v>30400</v>
      </c>
      <c r="M8" s="385">
        <f>ROUND(M4*0.0175,-2)</f>
        <v>15500</v>
      </c>
      <c r="N8" s="385">
        <f aca="true" t="shared" si="4" ref="N8:Q8">ROUND(N4*0.02,-2)</f>
        <v>13900</v>
      </c>
      <c r="O8" s="385">
        <f t="shared" si="4"/>
        <v>13000</v>
      </c>
      <c r="P8" s="385">
        <f t="shared" si="4"/>
        <v>19100</v>
      </c>
      <c r="Q8" s="385">
        <f t="shared" si="4"/>
        <v>25400</v>
      </c>
      <c r="R8" s="387"/>
      <c r="S8" s="388">
        <f>SUM(B8:J8)</f>
        <v>64973.509999999995</v>
      </c>
      <c r="V8" s="390">
        <f aca="true" t="shared" si="5" ref="V8:AL8">+V6*V7</f>
        <v>78350</v>
      </c>
      <c r="W8" s="390">
        <f t="shared" si="5"/>
        <v>79900</v>
      </c>
      <c r="X8" s="390">
        <f t="shared" si="5"/>
        <v>81500</v>
      </c>
      <c r="Y8" s="390">
        <f t="shared" si="5"/>
        <v>83150</v>
      </c>
      <c r="Z8" s="390">
        <f t="shared" si="5"/>
        <v>84800</v>
      </c>
      <c r="AA8" s="390">
        <f t="shared" si="5"/>
        <v>86500</v>
      </c>
      <c r="AB8" s="390">
        <f t="shared" si="5"/>
        <v>88250</v>
      </c>
      <c r="AC8" s="390">
        <f t="shared" si="5"/>
        <v>90000</v>
      </c>
      <c r="AD8" s="390">
        <f t="shared" si="5"/>
        <v>91800</v>
      </c>
      <c r="AE8" s="390">
        <f t="shared" si="5"/>
        <v>93650</v>
      </c>
      <c r="AF8" s="390">
        <f t="shared" si="5"/>
        <v>95500</v>
      </c>
      <c r="AG8" s="390">
        <f t="shared" si="5"/>
        <v>97400</v>
      </c>
      <c r="AH8" s="390">
        <f t="shared" si="5"/>
        <v>99350</v>
      </c>
      <c r="AI8" s="390">
        <f t="shared" si="5"/>
        <v>101350</v>
      </c>
      <c r="AJ8" s="390">
        <f t="shared" si="5"/>
        <v>103400</v>
      </c>
      <c r="AK8" s="390">
        <f t="shared" si="5"/>
        <v>105450</v>
      </c>
      <c r="AL8" s="390">
        <f t="shared" si="5"/>
        <v>107550</v>
      </c>
    </row>
    <row r="9" spans="1:38" ht="15.75">
      <c r="A9" s="360" t="s">
        <v>122</v>
      </c>
      <c r="B9" s="385">
        <v>10969</v>
      </c>
      <c r="C9" s="385"/>
      <c r="D9" s="385">
        <f>250+300</f>
        <v>550</v>
      </c>
      <c r="E9" s="386">
        <v>450</v>
      </c>
      <c r="F9" s="386">
        <v>1978</v>
      </c>
      <c r="G9" s="385">
        <f>170+20000+16035+800</f>
        <v>37005</v>
      </c>
      <c r="H9" s="385">
        <v>300</v>
      </c>
      <c r="I9" s="385"/>
      <c r="J9" s="385">
        <v>138</v>
      </c>
      <c r="K9" s="385">
        <f>210</f>
        <v>210</v>
      </c>
      <c r="L9" s="385"/>
      <c r="M9" s="385"/>
      <c r="N9" s="385"/>
      <c r="O9" s="385"/>
      <c r="P9" s="385"/>
      <c r="Q9" s="385"/>
      <c r="R9" s="387"/>
      <c r="S9" s="388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</row>
    <row r="10" spans="1:38" ht="15.75">
      <c r="A10" s="360" t="s">
        <v>123</v>
      </c>
      <c r="B10" s="385"/>
      <c r="C10" s="385"/>
      <c r="D10" s="385"/>
      <c r="E10" s="386"/>
      <c r="F10" s="386"/>
      <c r="G10" s="385">
        <v>17500</v>
      </c>
      <c r="H10" s="385">
        <v>31500</v>
      </c>
      <c r="I10" s="385">
        <v>16500</v>
      </c>
      <c r="J10" s="385">
        <v>24000</v>
      </c>
      <c r="K10" s="385">
        <f>68245.8</f>
        <v>68245.8</v>
      </c>
      <c r="L10" s="385">
        <v>0</v>
      </c>
      <c r="M10" s="385">
        <v>0</v>
      </c>
      <c r="N10" s="385">
        <v>0</v>
      </c>
      <c r="O10" s="385">
        <v>0</v>
      </c>
      <c r="P10" s="385">
        <v>0</v>
      </c>
      <c r="Q10" s="385">
        <v>0</v>
      </c>
      <c r="R10" s="387"/>
      <c r="S10" s="388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</row>
    <row r="11" spans="1:18" ht="15.75">
      <c r="A11" s="359" t="s">
        <v>124</v>
      </c>
      <c r="B11" s="391">
        <v>0</v>
      </c>
      <c r="C11" s="392">
        <v>0</v>
      </c>
      <c r="D11" s="391">
        <v>950000</v>
      </c>
      <c r="E11" s="393"/>
      <c r="F11" s="394">
        <v>950000</v>
      </c>
      <c r="G11" s="391">
        <v>0</v>
      </c>
      <c r="H11" s="391">
        <v>0</v>
      </c>
      <c r="I11" s="391">
        <v>0</v>
      </c>
      <c r="J11" s="391">
        <v>0</v>
      </c>
      <c r="K11" s="391">
        <v>0</v>
      </c>
      <c r="L11" s="391">
        <v>0</v>
      </c>
      <c r="M11" s="391">
        <v>0</v>
      </c>
      <c r="N11" s="391">
        <v>0</v>
      </c>
      <c r="O11" s="391">
        <v>0</v>
      </c>
      <c r="P11" s="391">
        <v>0</v>
      </c>
      <c r="Q11" s="391">
        <v>0</v>
      </c>
      <c r="R11" s="395"/>
    </row>
    <row r="12" spans="1:18" ht="15.75">
      <c r="A12" s="359" t="s">
        <v>125</v>
      </c>
      <c r="B12" s="391"/>
      <c r="C12" s="392"/>
      <c r="D12" s="391"/>
      <c r="E12" s="386"/>
      <c r="F12" s="394">
        <v>2000000</v>
      </c>
      <c r="G12" s="391">
        <f>1000000+100000-1100000+950000</f>
        <v>950000</v>
      </c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5"/>
    </row>
    <row r="13" spans="1:18" ht="15.75">
      <c r="A13" s="359" t="s">
        <v>126</v>
      </c>
      <c r="B13" s="391"/>
      <c r="C13" s="392"/>
      <c r="D13" s="391"/>
      <c r="E13" s="386"/>
      <c r="F13" s="394">
        <v>0</v>
      </c>
      <c r="G13" s="391">
        <v>95000</v>
      </c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5"/>
    </row>
    <row r="14" spans="1:18" ht="15.75" hidden="1">
      <c r="A14" s="396"/>
      <c r="B14" s="385"/>
      <c r="C14" s="385"/>
      <c r="D14" s="385"/>
      <c r="E14" s="386"/>
      <c r="F14" s="386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95"/>
    </row>
    <row r="15" spans="1:18" ht="9.75" customHeight="1">
      <c r="A15" s="360"/>
      <c r="B15" s="385"/>
      <c r="C15" s="385"/>
      <c r="D15" s="385"/>
      <c r="E15" s="386"/>
      <c r="F15" s="386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95"/>
    </row>
    <row r="16" spans="1:19" ht="15.75">
      <c r="A16" s="397" t="s">
        <v>127</v>
      </c>
      <c r="B16" s="398">
        <f aca="true" t="shared" si="6" ref="B16:O16">SUM(B7:B15)</f>
        <v>197251</v>
      </c>
      <c r="C16" s="398">
        <f t="shared" si="6"/>
        <v>66527</v>
      </c>
      <c r="D16" s="398">
        <f t="shared" si="6"/>
        <v>1127230</v>
      </c>
      <c r="E16" s="399">
        <f t="shared" si="6"/>
        <v>377334</v>
      </c>
      <c r="F16" s="399">
        <f t="shared" si="6"/>
        <v>3867148</v>
      </c>
      <c r="G16" s="398">
        <f t="shared" si="6"/>
        <v>2178852</v>
      </c>
      <c r="H16" s="398">
        <f t="shared" si="6"/>
        <v>1403837</v>
      </c>
      <c r="I16" s="398">
        <f t="shared" si="6"/>
        <v>1083563</v>
      </c>
      <c r="J16" s="398">
        <f>SUM(J7:J15)</f>
        <v>2177115.4099999997</v>
      </c>
      <c r="K16" s="398">
        <f t="shared" si="6"/>
        <v>1517307.45</v>
      </c>
      <c r="L16" s="398">
        <f t="shared" si="6"/>
        <v>800843</v>
      </c>
      <c r="M16" s="398">
        <f t="shared" si="6"/>
        <v>308000</v>
      </c>
      <c r="N16" s="398">
        <f t="shared" si="6"/>
        <v>306400</v>
      </c>
      <c r="O16" s="398">
        <f t="shared" si="6"/>
        <v>305500</v>
      </c>
      <c r="P16" s="398">
        <f>SUM(P7:P15)</f>
        <v>311600</v>
      </c>
      <c r="Q16" s="398">
        <f>SUM(Q7:Q15)</f>
        <v>25400</v>
      </c>
      <c r="R16" s="400"/>
      <c r="S16" s="401">
        <f>SUM(S7:S15)</f>
        <v>7392967.41</v>
      </c>
    </row>
    <row r="17" spans="1:18" ht="15.75">
      <c r="A17" s="360"/>
      <c r="B17" s="385"/>
      <c r="C17" s="385"/>
      <c r="D17" s="385"/>
      <c r="E17" s="386"/>
      <c r="F17" s="386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95"/>
    </row>
    <row r="18" spans="1:20" ht="15.75">
      <c r="A18" s="382" t="s">
        <v>487</v>
      </c>
      <c r="B18" s="385"/>
      <c r="C18" s="385"/>
      <c r="D18" s="385"/>
      <c r="E18" s="386"/>
      <c r="F18" s="386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95"/>
      <c r="T18" s="366">
        <f>1400000*0.02</f>
        <v>28000</v>
      </c>
    </row>
    <row r="19" spans="1:20" s="406" customFormat="1" ht="15.75">
      <c r="A19" s="402" t="s">
        <v>609</v>
      </c>
      <c r="B19" s="403"/>
      <c r="C19" s="403"/>
      <c r="D19" s="403"/>
      <c r="E19" s="393"/>
      <c r="F19" s="393"/>
      <c r="G19" s="403">
        <f>'[2]Est Loans 80-20'!B5</f>
        <v>0</v>
      </c>
      <c r="H19" s="403">
        <f>'[2]Est Loans 80-20'!B6</f>
        <v>450000</v>
      </c>
      <c r="I19" s="403">
        <f>'[2]Est Loans 80-20'!B7</f>
        <v>500000</v>
      </c>
      <c r="J19" s="403">
        <f>'[2]Actual Loans 80-20'!B8</f>
        <v>450000</v>
      </c>
      <c r="K19" s="403">
        <v>800000</v>
      </c>
      <c r="L19" s="403">
        <v>750000</v>
      </c>
      <c r="M19" s="403">
        <v>0</v>
      </c>
      <c r="N19" s="403">
        <v>0</v>
      </c>
      <c r="O19" s="403">
        <f>'[2]Est Loans 80-20'!B13</f>
        <v>0</v>
      </c>
      <c r="P19" s="391">
        <f>'[2]Est Loans 80-20'!B14</f>
        <v>0</v>
      </c>
      <c r="Q19" s="403"/>
      <c r="R19" s="395"/>
      <c r="S19" s="404"/>
      <c r="T19" s="405">
        <f>800000*0.02</f>
        <v>16000</v>
      </c>
    </row>
    <row r="20" spans="1:20" s="406" customFormat="1" ht="15.75">
      <c r="A20" s="407" t="s">
        <v>610</v>
      </c>
      <c r="B20" s="403"/>
      <c r="C20" s="403"/>
      <c r="D20" s="403"/>
      <c r="E20" s="393"/>
      <c r="F20" s="393"/>
      <c r="G20" s="403">
        <f>'[2]Est Loans 80-20'!C5</f>
        <v>40000</v>
      </c>
      <c r="H20" s="403">
        <f>'[2]Est Loans 80-20'!C6</f>
        <v>59000</v>
      </c>
      <c r="I20" s="403">
        <f>'[2]Est Loans 80-20'!C7</f>
        <v>50000</v>
      </c>
      <c r="J20" s="403">
        <f>'[2]Actual Loans 80-20'!C8</f>
        <v>40000</v>
      </c>
      <c r="K20" s="444">
        <f>'[2]Est Loans 80-20'!C9</f>
        <v>31000</v>
      </c>
      <c r="L20" s="444">
        <f>'[2]Est Loans 80-20'!C10</f>
        <v>22000</v>
      </c>
      <c r="M20" s="444">
        <v>0</v>
      </c>
      <c r="N20" s="403">
        <v>0</v>
      </c>
      <c r="O20" s="403">
        <f>'[2]Est Loans 80-20'!C13</f>
        <v>0</v>
      </c>
      <c r="P20" s="391">
        <f>'[2]Est Loans 80-20'!C14</f>
        <v>0</v>
      </c>
      <c r="Q20" s="403"/>
      <c r="R20" s="395"/>
      <c r="S20" s="404"/>
      <c r="T20" s="405"/>
    </row>
    <row r="21" spans="1:20" s="406" customFormat="1" ht="15.75">
      <c r="A21" s="359" t="s">
        <v>128</v>
      </c>
      <c r="B21" s="403"/>
      <c r="C21" s="403"/>
      <c r="D21" s="403"/>
      <c r="E21" s="393"/>
      <c r="F21" s="393"/>
      <c r="G21" s="403">
        <f>1663*3</f>
        <v>4989</v>
      </c>
      <c r="H21" s="403">
        <f>56*1696</f>
        <v>94976</v>
      </c>
      <c r="I21" s="403">
        <v>162620</v>
      </c>
      <c r="J21" s="403">
        <f>'[2]Est Loans 80-20'!Q25</f>
        <v>131982.1143</v>
      </c>
      <c r="K21" s="403">
        <v>32242</v>
      </c>
      <c r="L21" s="403">
        <f>'[2]Est Loans 80-20'!S25</f>
        <v>31212</v>
      </c>
      <c r="M21" s="403">
        <v>0</v>
      </c>
      <c r="N21" s="408">
        <v>0</v>
      </c>
      <c r="O21" s="408">
        <f>'[2]Est Loans 80-20'!D27</f>
        <v>0</v>
      </c>
      <c r="P21" s="391">
        <f>'[2]Est Loans 80-20'!D28</f>
        <v>0</v>
      </c>
      <c r="Q21" s="403"/>
      <c r="R21" s="395"/>
      <c r="S21" s="404"/>
      <c r="T21" s="405"/>
    </row>
    <row r="22" spans="1:20" s="406" customFormat="1" ht="15.75">
      <c r="A22" s="359" t="s">
        <v>129</v>
      </c>
      <c r="B22" s="403"/>
      <c r="C22" s="403"/>
      <c r="D22" s="403"/>
      <c r="E22" s="393"/>
      <c r="F22" s="393"/>
      <c r="G22" s="403">
        <v>177755</v>
      </c>
      <c r="H22" s="403">
        <v>165580</v>
      </c>
      <c r="I22" s="403">
        <v>287046</v>
      </c>
      <c r="J22" s="403">
        <v>11317</v>
      </c>
      <c r="K22" s="403">
        <v>363735</v>
      </c>
      <c r="L22" s="444">
        <v>0</v>
      </c>
      <c r="M22" s="403"/>
      <c r="N22" s="408"/>
      <c r="O22" s="408"/>
      <c r="P22" s="391"/>
      <c r="Q22" s="403"/>
      <c r="R22" s="395"/>
      <c r="S22" s="404"/>
      <c r="T22" s="405"/>
    </row>
    <row r="23" spans="1:20" s="406" customFormat="1" ht="15.75">
      <c r="A23" s="360" t="s">
        <v>130</v>
      </c>
      <c r="B23" s="385"/>
      <c r="C23" s="385"/>
      <c r="D23" s="385"/>
      <c r="E23" s="386"/>
      <c r="F23" s="386"/>
      <c r="G23" s="385"/>
      <c r="H23" s="385"/>
      <c r="I23" s="385"/>
      <c r="J23" s="385">
        <f>22588.25+11643.75</f>
        <v>34232</v>
      </c>
      <c r="K23" s="385">
        <v>37447</v>
      </c>
      <c r="L23" s="385"/>
      <c r="M23" s="385"/>
      <c r="N23" s="409"/>
      <c r="O23" s="409"/>
      <c r="P23" s="383"/>
      <c r="Q23" s="385"/>
      <c r="R23" s="395"/>
      <c r="S23" s="404"/>
      <c r="T23" s="405"/>
    </row>
    <row r="24" spans="1:20" s="406" customFormat="1" ht="15.75">
      <c r="A24" s="360" t="s">
        <v>131</v>
      </c>
      <c r="B24" s="385"/>
      <c r="C24" s="385"/>
      <c r="D24" s="385">
        <v>185441.79</v>
      </c>
      <c r="E24" s="386">
        <f>12508+331</f>
        <v>12839</v>
      </c>
      <c r="F24" s="386">
        <f>209207+5409+266</f>
        <v>214882</v>
      </c>
      <c r="G24" s="385">
        <v>226626</v>
      </c>
      <c r="H24" s="385">
        <v>1776</v>
      </c>
      <c r="I24" s="385">
        <v>14511</v>
      </c>
      <c r="J24" s="385">
        <f>4700.5+830</f>
        <v>5530.5</v>
      </c>
      <c r="K24" s="385">
        <v>698.9</v>
      </c>
      <c r="L24" s="385"/>
      <c r="M24" s="385"/>
      <c r="N24" s="385"/>
      <c r="O24" s="385"/>
      <c r="P24" s="385"/>
      <c r="Q24" s="385"/>
      <c r="R24" s="395"/>
      <c r="S24" s="404"/>
      <c r="T24" s="405">
        <f>-1095047+480727</f>
        <v>-614320</v>
      </c>
    </row>
    <row r="25" spans="1:24" s="406" customFormat="1" ht="15.75" hidden="1">
      <c r="A25" s="360" t="s">
        <v>132</v>
      </c>
      <c r="B25" s="385"/>
      <c r="C25" s="385"/>
      <c r="D25" s="385"/>
      <c r="E25" s="386"/>
      <c r="F25" s="386"/>
      <c r="G25" s="385">
        <v>385062</v>
      </c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95"/>
      <c r="S25" s="404"/>
      <c r="T25" s="405">
        <f>+T24+95000</f>
        <v>-519320</v>
      </c>
      <c r="X25" s="406">
        <v>900000</v>
      </c>
    </row>
    <row r="26" spans="1:24" ht="15.75" hidden="1">
      <c r="A26" s="360" t="s">
        <v>133</v>
      </c>
      <c r="B26" s="385"/>
      <c r="C26" s="385">
        <v>2092</v>
      </c>
      <c r="D26" s="385"/>
      <c r="E26" s="399">
        <f>30733+13590+108</f>
        <v>44431</v>
      </c>
      <c r="F26" s="386">
        <f>43608+3493+58028+1690+113</f>
        <v>106932</v>
      </c>
      <c r="G26" s="385">
        <f>696-59831</f>
        <v>-59135</v>
      </c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95"/>
      <c r="X26" s="364">
        <f>+X25/6</f>
        <v>150000</v>
      </c>
    </row>
    <row r="27" spans="1:20" ht="15.75" hidden="1">
      <c r="A27" s="360" t="s">
        <v>134</v>
      </c>
      <c r="B27" s="385"/>
      <c r="C27" s="385">
        <v>1700</v>
      </c>
      <c r="D27" s="385"/>
      <c r="E27" s="386"/>
      <c r="F27" s="386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95"/>
      <c r="T27" s="366">
        <f>-51671+679032</f>
        <v>627361</v>
      </c>
    </row>
    <row r="28" spans="1:45" ht="15.75" hidden="1">
      <c r="A28" s="360" t="s">
        <v>135</v>
      </c>
      <c r="B28" s="385"/>
      <c r="C28" s="385"/>
      <c r="D28" s="385"/>
      <c r="E28" s="386">
        <v>0</v>
      </c>
      <c r="F28" s="386"/>
      <c r="G28" s="385"/>
      <c r="H28" s="385"/>
      <c r="I28" s="409"/>
      <c r="J28" s="409"/>
      <c r="K28" s="409"/>
      <c r="L28" s="409"/>
      <c r="M28" s="409"/>
      <c r="N28" s="409"/>
      <c r="O28" s="409"/>
      <c r="P28" s="409"/>
      <c r="Q28" s="409"/>
      <c r="R28" s="410"/>
      <c r="S28" s="388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</row>
    <row r="29" spans="1:20" ht="15.75" hidden="1">
      <c r="A29" s="360" t="s">
        <v>136</v>
      </c>
      <c r="B29" s="383"/>
      <c r="C29" s="383"/>
      <c r="D29" s="383"/>
      <c r="E29" s="412"/>
      <c r="F29" s="412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7"/>
      <c r="T29" s="366">
        <f>3100000+300000</f>
        <v>3400000</v>
      </c>
    </row>
    <row r="30" spans="1:20" ht="15.75" hidden="1">
      <c r="A30" s="396" t="s">
        <v>137</v>
      </c>
      <c r="B30" s="383"/>
      <c r="C30" s="383"/>
      <c r="D30" s="383">
        <v>0</v>
      </c>
      <c r="E30" s="412"/>
      <c r="F30" s="412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7"/>
      <c r="S30" s="388">
        <f>SUM(B30:J30)</f>
        <v>0</v>
      </c>
      <c r="T30" s="366">
        <f>+T29-1900000</f>
        <v>1500000</v>
      </c>
    </row>
    <row r="31" spans="1:19" ht="15.75" hidden="1">
      <c r="A31" s="396" t="s">
        <v>138</v>
      </c>
      <c r="B31" s="383"/>
      <c r="C31" s="383">
        <v>63</v>
      </c>
      <c r="D31" s="383">
        <v>94460.88</v>
      </c>
      <c r="E31" s="412">
        <v>155435</v>
      </c>
      <c r="F31" s="412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7"/>
      <c r="S31" s="388">
        <f>SUM(B31:J31)</f>
        <v>249958.88</v>
      </c>
    </row>
    <row r="32" spans="1:20" ht="15.75">
      <c r="A32" s="396" t="s">
        <v>139</v>
      </c>
      <c r="B32" s="383">
        <v>59223</v>
      </c>
      <c r="C32" s="383">
        <v>2134</v>
      </c>
      <c r="D32" s="383">
        <v>0</v>
      </c>
      <c r="E32" s="412">
        <v>331</v>
      </c>
      <c r="F32" s="412">
        <f>113045+22040</f>
        <v>135085</v>
      </c>
      <c r="G32" s="383">
        <v>100000</v>
      </c>
      <c r="H32" s="383">
        <v>100000</v>
      </c>
      <c r="I32" s="383">
        <v>100400</v>
      </c>
      <c r="J32" s="360"/>
      <c r="K32" s="383"/>
      <c r="L32" s="383"/>
      <c r="M32" s="383"/>
      <c r="N32" s="383"/>
      <c r="O32" s="383"/>
      <c r="P32" s="383"/>
      <c r="Q32" s="383"/>
      <c r="R32" s="387"/>
      <c r="S32" s="388"/>
      <c r="T32" s="413" t="s">
        <v>611</v>
      </c>
    </row>
    <row r="33" spans="1:19" ht="15.75" hidden="1">
      <c r="A33" s="396" t="s">
        <v>140</v>
      </c>
      <c r="B33" s="383">
        <v>321</v>
      </c>
      <c r="C33" s="383"/>
      <c r="D33" s="383"/>
      <c r="E33" s="412"/>
      <c r="F33" s="412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7"/>
      <c r="S33" s="388"/>
    </row>
    <row r="34" spans="1:19" ht="15.75" hidden="1">
      <c r="A34" s="396" t="s">
        <v>141</v>
      </c>
      <c r="B34" s="383"/>
      <c r="C34" s="383"/>
      <c r="D34" s="383"/>
      <c r="E34" s="412">
        <v>3550</v>
      </c>
      <c r="F34" s="412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7"/>
      <c r="S34" s="388"/>
    </row>
    <row r="35" spans="1:26" ht="15.75" hidden="1">
      <c r="A35" s="414" t="s">
        <v>142</v>
      </c>
      <c r="B35" s="383">
        <v>112245</v>
      </c>
      <c r="C35" s="383">
        <v>278101</v>
      </c>
      <c r="D35" s="383">
        <v>5125.84</v>
      </c>
      <c r="E35" s="412"/>
      <c r="F35" s="412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7"/>
      <c r="S35" s="388">
        <f>SUM(B35:J35)</f>
        <v>395471.84</v>
      </c>
      <c r="T35" s="366">
        <v>200000</v>
      </c>
      <c r="Z35" s="364">
        <v>2375</v>
      </c>
    </row>
    <row r="36" spans="1:20" ht="15.75" hidden="1">
      <c r="A36" s="396" t="s">
        <v>143</v>
      </c>
      <c r="B36" s="383"/>
      <c r="C36" s="383"/>
      <c r="D36" s="383"/>
      <c r="E36" s="412"/>
      <c r="F36" s="412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7"/>
      <c r="S36" s="388"/>
      <c r="T36" s="366">
        <v>0.02</v>
      </c>
    </row>
    <row r="37" spans="1:20" ht="15.75" hidden="1">
      <c r="A37" s="414" t="s">
        <v>144</v>
      </c>
      <c r="B37" s="383"/>
      <c r="C37" s="383"/>
      <c r="D37" s="383"/>
      <c r="E37" s="412"/>
      <c r="F37" s="412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7"/>
      <c r="S37" s="388">
        <f>SUM(B37:J37)</f>
        <v>0</v>
      </c>
      <c r="T37" s="366">
        <f>+T35*T36</f>
        <v>4000</v>
      </c>
    </row>
    <row r="38" spans="1:19" ht="15.75" hidden="1">
      <c r="A38" s="396" t="s">
        <v>145</v>
      </c>
      <c r="B38" s="383"/>
      <c r="C38" s="383"/>
      <c r="D38" s="383"/>
      <c r="E38" s="412"/>
      <c r="F38" s="412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7"/>
      <c r="S38" s="388"/>
    </row>
    <row r="39" spans="1:19" ht="15.75" hidden="1">
      <c r="A39" s="415" t="s">
        <v>146</v>
      </c>
      <c r="B39" s="383"/>
      <c r="C39" s="383"/>
      <c r="D39" s="383"/>
      <c r="E39" s="412"/>
      <c r="F39" s="412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7"/>
      <c r="S39" s="388">
        <f>SUM(B39:J39)</f>
        <v>0</v>
      </c>
    </row>
    <row r="40" spans="1:19" ht="15.75" hidden="1">
      <c r="A40" s="396" t="s">
        <v>147</v>
      </c>
      <c r="B40" s="383"/>
      <c r="C40" s="383"/>
      <c r="D40" s="383"/>
      <c r="E40" s="412"/>
      <c r="F40" s="412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7"/>
      <c r="S40" s="388"/>
    </row>
    <row r="41" spans="1:19" ht="15.75" hidden="1">
      <c r="A41" s="414" t="s">
        <v>148</v>
      </c>
      <c r="B41" s="383"/>
      <c r="C41" s="383"/>
      <c r="D41" s="383"/>
      <c r="E41" s="412"/>
      <c r="F41" s="41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7"/>
      <c r="S41" s="388">
        <f>SUM(B41:J41)</f>
        <v>0</v>
      </c>
    </row>
    <row r="42" spans="1:26" ht="15.75" hidden="1">
      <c r="A42" s="396" t="s">
        <v>149</v>
      </c>
      <c r="B42" s="383"/>
      <c r="C42" s="383"/>
      <c r="D42" s="383"/>
      <c r="E42" s="412"/>
      <c r="F42" s="412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7"/>
      <c r="S42" s="388"/>
      <c r="Z42" s="364">
        <f>+Z35*0.01</f>
        <v>23.75</v>
      </c>
    </row>
    <row r="43" spans="1:19" ht="15.75" hidden="1">
      <c r="A43" s="414" t="s">
        <v>148</v>
      </c>
      <c r="B43" s="383">
        <v>4707</v>
      </c>
      <c r="C43" s="383">
        <v>1360</v>
      </c>
      <c r="D43" s="383"/>
      <c r="E43" s="412"/>
      <c r="F43" s="412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7"/>
      <c r="S43" s="388">
        <f>SUM(B43:J43)</f>
        <v>6067</v>
      </c>
    </row>
    <row r="44" spans="1:22" ht="15.75" hidden="1">
      <c r="A44" s="414" t="s">
        <v>150</v>
      </c>
      <c r="B44" s="383"/>
      <c r="C44" s="383"/>
      <c r="D44" s="383"/>
      <c r="E44" s="412"/>
      <c r="F44" s="412"/>
      <c r="G44" s="383">
        <f>25000-25000</f>
        <v>0</v>
      </c>
      <c r="H44" s="383"/>
      <c r="I44" s="383"/>
      <c r="J44" s="383">
        <f>25000-25000</f>
        <v>0</v>
      </c>
      <c r="K44" s="383"/>
      <c r="L44" s="383"/>
      <c r="M44" s="383"/>
      <c r="N44" s="383"/>
      <c r="O44" s="383"/>
      <c r="P44" s="383"/>
      <c r="Q44" s="383"/>
      <c r="R44" s="387"/>
      <c r="S44" s="388">
        <f>SUM(B44:J44)</f>
        <v>0</v>
      </c>
      <c r="V44" s="364">
        <v>4237</v>
      </c>
    </row>
    <row r="45" spans="1:22" ht="15.75" hidden="1">
      <c r="A45" s="414" t="s">
        <v>151</v>
      </c>
      <c r="B45" s="383"/>
      <c r="C45" s="383"/>
      <c r="D45" s="383"/>
      <c r="E45" s="412"/>
      <c r="F45" s="412"/>
      <c r="G45" s="383">
        <f>75000-75000</f>
        <v>0</v>
      </c>
      <c r="H45" s="383"/>
      <c r="I45" s="383"/>
      <c r="J45" s="383">
        <f>75000-75000</f>
        <v>0</v>
      </c>
      <c r="K45" s="383"/>
      <c r="L45" s="383"/>
      <c r="M45" s="383"/>
      <c r="N45" s="383"/>
      <c r="O45" s="383"/>
      <c r="P45" s="383"/>
      <c r="Q45" s="383"/>
      <c r="R45" s="387"/>
      <c r="S45" s="388">
        <f>SUM(B45:J45)</f>
        <v>0</v>
      </c>
      <c r="V45" s="364">
        <f>200*V44</f>
        <v>847400</v>
      </c>
    </row>
    <row r="46" spans="1:22" ht="15.75" hidden="1">
      <c r="A46" s="414" t="s">
        <v>152</v>
      </c>
      <c r="B46" s="383"/>
      <c r="C46" s="383"/>
      <c r="D46" s="383"/>
      <c r="E46" s="412"/>
      <c r="F46" s="412"/>
      <c r="G46" s="383"/>
      <c r="H46" s="383"/>
      <c r="I46" s="383"/>
      <c r="J46" s="383">
        <f>20000-20000</f>
        <v>0</v>
      </c>
      <c r="K46" s="383"/>
      <c r="L46" s="383"/>
      <c r="M46" s="383"/>
      <c r="N46" s="383"/>
      <c r="O46" s="383"/>
      <c r="P46" s="383"/>
      <c r="Q46" s="383"/>
      <c r="R46" s="387"/>
      <c r="S46" s="388"/>
      <c r="T46" s="366">
        <v>4400000</v>
      </c>
      <c r="V46" s="364">
        <f>+V45*0.65</f>
        <v>550810</v>
      </c>
    </row>
    <row r="47" spans="1:22" ht="15.75" hidden="1">
      <c r="A47" s="414" t="s">
        <v>153</v>
      </c>
      <c r="B47" s="383"/>
      <c r="C47" s="383">
        <v>0</v>
      </c>
      <c r="D47" s="383">
        <v>0</v>
      </c>
      <c r="E47" s="412"/>
      <c r="F47" s="412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7"/>
      <c r="S47" s="388">
        <f>SUM(B47:J47)</f>
        <v>0</v>
      </c>
      <c r="T47" s="366">
        <f>+T46*0.01</f>
        <v>44000</v>
      </c>
      <c r="V47" s="364">
        <f>+V44*50*0.65</f>
        <v>137702.5</v>
      </c>
    </row>
    <row r="48" spans="1:19" ht="15.75" hidden="1">
      <c r="A48" s="396" t="s">
        <v>154</v>
      </c>
      <c r="B48" s="383">
        <v>215</v>
      </c>
      <c r="C48" s="383"/>
      <c r="D48" s="383"/>
      <c r="E48" s="412"/>
      <c r="F48" s="412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7"/>
      <c r="S48" s="388">
        <f>SUM(B48:J48)</f>
        <v>215</v>
      </c>
    </row>
    <row r="49" spans="1:19" ht="15.75" hidden="1">
      <c r="A49" s="396" t="s">
        <v>155</v>
      </c>
      <c r="B49" s="383"/>
      <c r="C49" s="383">
        <v>3200</v>
      </c>
      <c r="D49" s="383"/>
      <c r="E49" s="412"/>
      <c r="F49" s="412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7"/>
      <c r="S49" s="388"/>
    </row>
    <row r="50" spans="1:19" ht="15.75" hidden="1">
      <c r="A50" s="396" t="s">
        <v>156</v>
      </c>
      <c r="B50" s="383"/>
      <c r="C50" s="383">
        <v>2024</v>
      </c>
      <c r="D50" s="383"/>
      <c r="E50" s="412"/>
      <c r="F50" s="412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7"/>
      <c r="S50" s="388"/>
    </row>
    <row r="51" spans="1:22" ht="15.75">
      <c r="A51" s="396" t="s">
        <v>157</v>
      </c>
      <c r="B51" s="383"/>
      <c r="C51" s="383"/>
      <c r="D51" s="383"/>
      <c r="E51" s="412"/>
      <c r="F51" s="412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7"/>
      <c r="S51" s="388"/>
      <c r="T51" s="366">
        <f>+T46*0.0075</f>
        <v>33000</v>
      </c>
      <c r="V51" s="364">
        <f>+V47+V46</f>
        <v>688512.5</v>
      </c>
    </row>
    <row r="52" spans="1:20" ht="15.75">
      <c r="A52" s="414" t="s">
        <v>158</v>
      </c>
      <c r="B52" s="391"/>
      <c r="C52" s="391"/>
      <c r="D52" s="391"/>
      <c r="E52" s="394"/>
      <c r="F52" s="394"/>
      <c r="G52" s="391"/>
      <c r="H52" s="391">
        <v>1970</v>
      </c>
      <c r="I52" s="391"/>
      <c r="J52" s="383">
        <f>93981.76+311.75+18963.05+155.88</f>
        <v>113412.44</v>
      </c>
      <c r="K52" s="409">
        <v>157217.29</v>
      </c>
      <c r="L52" s="383"/>
      <c r="M52" s="383"/>
      <c r="N52" s="383"/>
      <c r="O52" s="383"/>
      <c r="P52" s="383"/>
      <c r="Q52" s="383"/>
      <c r="R52" s="387"/>
      <c r="S52" s="388">
        <f>SUM(J52:J52)</f>
        <v>113412.44</v>
      </c>
      <c r="T52" s="416">
        <f>7/8</f>
        <v>0.875</v>
      </c>
    </row>
    <row r="53" spans="1:20" ht="15.75">
      <c r="A53" s="414" t="s">
        <v>159</v>
      </c>
      <c r="B53" s="383"/>
      <c r="C53" s="383"/>
      <c r="D53" s="383">
        <v>0</v>
      </c>
      <c r="E53" s="412">
        <v>0</v>
      </c>
      <c r="F53" s="412"/>
      <c r="G53" s="383">
        <v>277318</v>
      </c>
      <c r="H53" s="383">
        <f>11924+1657</f>
        <v>13581</v>
      </c>
      <c r="I53" s="383"/>
      <c r="J53" s="383"/>
      <c r="K53" s="383"/>
      <c r="L53" s="383"/>
      <c r="M53" s="383"/>
      <c r="N53" s="383"/>
      <c r="O53" s="383"/>
      <c r="P53" s="383"/>
      <c r="Q53" s="383"/>
      <c r="R53" s="387"/>
      <c r="S53" s="388"/>
      <c r="T53" s="366">
        <f>+T46*T52/100</f>
        <v>38500</v>
      </c>
    </row>
    <row r="54" spans="1:19" ht="15.75">
      <c r="A54" s="442" t="s">
        <v>161</v>
      </c>
      <c r="B54" s="391"/>
      <c r="C54" s="391"/>
      <c r="D54" s="391">
        <v>985980.34</v>
      </c>
      <c r="E54" s="394">
        <v>35597</v>
      </c>
      <c r="F54" s="394">
        <f>3739022+53450+579+11266</f>
        <v>3804317</v>
      </c>
      <c r="G54" s="391">
        <f>1094334-59020</f>
        <v>1035314</v>
      </c>
      <c r="H54" s="391">
        <v>45751</v>
      </c>
      <c r="I54" s="391"/>
      <c r="J54" s="391"/>
      <c r="K54" s="391"/>
      <c r="L54" s="391"/>
      <c r="M54" s="391"/>
      <c r="N54" s="391"/>
      <c r="O54" s="391"/>
      <c r="P54" s="391"/>
      <c r="Q54" s="391"/>
      <c r="R54" s="387"/>
      <c r="S54" s="388"/>
    </row>
    <row r="55" spans="1:19" ht="15.75">
      <c r="A55" s="443" t="s">
        <v>162</v>
      </c>
      <c r="B55" s="391"/>
      <c r="C55" s="391"/>
      <c r="D55" s="391"/>
      <c r="E55" s="394"/>
      <c r="F55" s="394"/>
      <c r="G55" s="391">
        <f>56750+2270</f>
        <v>59020</v>
      </c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87"/>
      <c r="S55" s="388"/>
    </row>
    <row r="56" spans="1:19" ht="15.75">
      <c r="A56" s="443" t="s">
        <v>163</v>
      </c>
      <c r="B56" s="391"/>
      <c r="C56" s="391"/>
      <c r="D56" s="391"/>
      <c r="E56" s="394"/>
      <c r="F56" s="394"/>
      <c r="G56" s="391">
        <v>0</v>
      </c>
      <c r="H56" s="391"/>
      <c r="I56" s="441">
        <v>148586</v>
      </c>
      <c r="J56" s="391"/>
      <c r="K56" s="391"/>
      <c r="L56" s="391"/>
      <c r="M56" s="391"/>
      <c r="N56" s="391"/>
      <c r="O56" s="391"/>
      <c r="P56" s="391"/>
      <c r="Q56" s="391"/>
      <c r="R56" s="387"/>
      <c r="S56" s="388"/>
    </row>
    <row r="57" spans="1:19" ht="15.75">
      <c r="A57" s="443" t="s">
        <v>623</v>
      </c>
      <c r="B57" s="391"/>
      <c r="C57" s="391"/>
      <c r="D57" s="391"/>
      <c r="E57" s="394"/>
      <c r="F57" s="394"/>
      <c r="G57" s="391"/>
      <c r="H57" s="391"/>
      <c r="I57" s="391"/>
      <c r="J57" s="391"/>
      <c r="K57" s="391"/>
      <c r="L57" s="441">
        <v>100000</v>
      </c>
      <c r="M57" s="391"/>
      <c r="N57" s="391"/>
      <c r="O57" s="391"/>
      <c r="P57" s="391"/>
      <c r="Q57" s="391"/>
      <c r="R57" s="387"/>
      <c r="S57" s="388"/>
    </row>
    <row r="58" spans="1:20" ht="15.75">
      <c r="A58" s="414" t="s">
        <v>160</v>
      </c>
      <c r="B58" s="383"/>
      <c r="C58" s="383"/>
      <c r="D58" s="383">
        <v>0</v>
      </c>
      <c r="E58" s="412">
        <v>0</v>
      </c>
      <c r="F58" s="412"/>
      <c r="G58" s="383">
        <v>0</v>
      </c>
      <c r="H58" s="383">
        <v>0</v>
      </c>
      <c r="I58" s="383"/>
      <c r="J58" s="383">
        <f>650000-650000</f>
        <v>0</v>
      </c>
      <c r="K58" s="383">
        <f>650000-50000-600000+100000-100000</f>
        <v>0</v>
      </c>
      <c r="L58" s="383"/>
      <c r="M58" s="383"/>
      <c r="N58" s="383">
        <v>350000</v>
      </c>
      <c r="O58" s="383"/>
      <c r="P58" s="383"/>
      <c r="Q58" s="383"/>
      <c r="R58" s="387"/>
      <c r="S58" s="388"/>
      <c r="T58" s="366">
        <f>+T47-T53</f>
        <v>5500</v>
      </c>
    </row>
    <row r="59" spans="1:19" ht="15.75">
      <c r="A59" s="414" t="s">
        <v>164</v>
      </c>
      <c r="B59" s="383"/>
      <c r="C59" s="383"/>
      <c r="D59" s="383"/>
      <c r="E59" s="412"/>
      <c r="F59" s="412"/>
      <c r="G59" s="383"/>
      <c r="H59" s="383"/>
      <c r="I59" s="383"/>
      <c r="J59" s="383"/>
      <c r="K59" s="383">
        <v>0</v>
      </c>
      <c r="L59" s="383">
        <f>500000-500000</f>
        <v>0</v>
      </c>
      <c r="M59" s="383">
        <f>500000</f>
        <v>500000</v>
      </c>
      <c r="N59" s="383"/>
      <c r="O59" s="383"/>
      <c r="P59" s="383"/>
      <c r="Q59" s="383"/>
      <c r="R59" s="387"/>
      <c r="S59" s="388"/>
    </row>
    <row r="60" spans="1:19" ht="15.75">
      <c r="A60" s="414" t="s">
        <v>165</v>
      </c>
      <c r="B60" s="383"/>
      <c r="C60" s="383"/>
      <c r="D60" s="383">
        <v>0</v>
      </c>
      <c r="E60" s="412"/>
      <c r="F60" s="412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7"/>
      <c r="S60" s="388"/>
    </row>
    <row r="61" spans="1:18" ht="15.75">
      <c r="A61" s="396" t="s">
        <v>613</v>
      </c>
      <c r="B61" s="383"/>
      <c r="C61" s="383"/>
      <c r="D61" s="383"/>
      <c r="E61" s="412"/>
      <c r="F61" s="412"/>
      <c r="G61" s="383"/>
      <c r="H61" s="383"/>
      <c r="I61" s="383"/>
      <c r="J61" s="383"/>
      <c r="K61" s="383">
        <v>25585.25</v>
      </c>
      <c r="L61" s="383"/>
      <c r="M61" s="383"/>
      <c r="N61" s="383"/>
      <c r="O61" s="383"/>
      <c r="P61" s="383"/>
      <c r="Q61" s="383"/>
      <c r="R61" s="387"/>
    </row>
    <row r="62" spans="1:18" ht="15.75">
      <c r="A62" s="396" t="s">
        <v>622</v>
      </c>
      <c r="B62" s="383"/>
      <c r="C62" s="383"/>
      <c r="D62" s="383"/>
      <c r="E62" s="412"/>
      <c r="F62" s="412"/>
      <c r="G62" s="383"/>
      <c r="H62" s="383"/>
      <c r="I62" s="383"/>
      <c r="J62" s="383"/>
      <c r="K62" s="383"/>
      <c r="L62" s="383">
        <v>750000</v>
      </c>
      <c r="M62" s="383"/>
      <c r="N62" s="383"/>
      <c r="O62" s="383"/>
      <c r="P62" s="383"/>
      <c r="Q62" s="383"/>
      <c r="R62" s="387"/>
    </row>
    <row r="63" spans="1:19" ht="15.75">
      <c r="A63" s="397" t="s">
        <v>489</v>
      </c>
      <c r="B63" s="417">
        <f aca="true" t="shared" si="7" ref="B63:H63">SUM(B18:B61)</f>
        <v>176711</v>
      </c>
      <c r="C63" s="417">
        <f t="shared" si="7"/>
        <v>290674</v>
      </c>
      <c r="D63" s="417">
        <f t="shared" si="7"/>
        <v>1271008.85</v>
      </c>
      <c r="E63" s="418">
        <f t="shared" si="7"/>
        <v>252183</v>
      </c>
      <c r="F63" s="418">
        <f t="shared" si="7"/>
        <v>4261216</v>
      </c>
      <c r="G63" s="417">
        <f t="shared" si="7"/>
        <v>2246949</v>
      </c>
      <c r="H63" s="417">
        <f t="shared" si="7"/>
        <v>932634</v>
      </c>
      <c r="I63" s="417">
        <f aca="true" t="shared" si="8" ref="I63:K63">SUM(I18:I62)</f>
        <v>1263163</v>
      </c>
      <c r="J63" s="417">
        <f t="shared" si="8"/>
        <v>786474.0543</v>
      </c>
      <c r="K63" s="417">
        <f t="shared" si="8"/>
        <v>1447925.44</v>
      </c>
      <c r="L63" s="417">
        <f>SUM(L18:L62)</f>
        <v>1653212</v>
      </c>
      <c r="M63" s="417">
        <f aca="true" t="shared" si="9" ref="M63:Q63">SUM(M18:M62)</f>
        <v>500000</v>
      </c>
      <c r="N63" s="417">
        <f t="shared" si="9"/>
        <v>350000</v>
      </c>
      <c r="O63" s="417">
        <f t="shared" si="9"/>
        <v>0</v>
      </c>
      <c r="P63" s="417">
        <f t="shared" si="9"/>
        <v>0</v>
      </c>
      <c r="Q63" s="417">
        <f t="shared" si="9"/>
        <v>0</v>
      </c>
      <c r="R63" s="419"/>
      <c r="S63" s="420">
        <f>SUM(S28:S61)</f>
        <v>765125.1599999999</v>
      </c>
    </row>
    <row r="64" spans="1:19" ht="15.75">
      <c r="A64" s="396"/>
      <c r="B64" s="421"/>
      <c r="C64" s="421"/>
      <c r="D64" s="421"/>
      <c r="E64" s="394"/>
      <c r="F64" s="394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2"/>
      <c r="S64" s="420"/>
    </row>
    <row r="65" spans="1:19" ht="18.75">
      <c r="A65" s="423" t="s">
        <v>166</v>
      </c>
      <c r="B65" s="424">
        <f aca="true" t="shared" si="10" ref="B65:Q65">+B16-B63</f>
        <v>20540</v>
      </c>
      <c r="C65" s="424">
        <f t="shared" si="10"/>
        <v>-224147</v>
      </c>
      <c r="D65" s="424">
        <f t="shared" si="10"/>
        <v>-143778.8500000001</v>
      </c>
      <c r="E65" s="425">
        <f t="shared" si="10"/>
        <v>125151</v>
      </c>
      <c r="F65" s="425">
        <f t="shared" si="10"/>
        <v>-394068</v>
      </c>
      <c r="G65" s="424">
        <f t="shared" si="10"/>
        <v>-68097</v>
      </c>
      <c r="H65" s="424">
        <f t="shared" si="10"/>
        <v>471203</v>
      </c>
      <c r="I65" s="424">
        <f t="shared" si="10"/>
        <v>-179600</v>
      </c>
      <c r="J65" s="424">
        <f t="shared" si="10"/>
        <v>1390641.3556999997</v>
      </c>
      <c r="K65" s="424">
        <f t="shared" si="10"/>
        <v>69382.01000000001</v>
      </c>
      <c r="L65" s="424">
        <f t="shared" si="10"/>
        <v>-852369</v>
      </c>
      <c r="M65" s="424">
        <f t="shared" si="10"/>
        <v>-192000</v>
      </c>
      <c r="N65" s="424">
        <f t="shared" si="10"/>
        <v>-43600</v>
      </c>
      <c r="O65" s="424">
        <f t="shared" si="10"/>
        <v>305500</v>
      </c>
      <c r="P65" s="424">
        <f t="shared" si="10"/>
        <v>311600</v>
      </c>
      <c r="Q65" s="424">
        <f t="shared" si="10"/>
        <v>25400</v>
      </c>
      <c r="R65" s="426"/>
      <c r="S65" s="427">
        <f>+S16-S63</f>
        <v>6627842.25</v>
      </c>
    </row>
    <row r="66" spans="1:19" ht="6.75" customHeight="1">
      <c r="A66" s="396"/>
      <c r="B66" s="385"/>
      <c r="C66" s="385"/>
      <c r="D66" s="385"/>
      <c r="E66" s="386"/>
      <c r="F66" s="386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95"/>
      <c r="S66" s="428"/>
    </row>
    <row r="67" spans="1:19" ht="18.75">
      <c r="A67" s="429" t="s">
        <v>612</v>
      </c>
      <c r="B67" s="430">
        <f aca="true" t="shared" si="11" ref="B67:Q67">+B4+B65</f>
        <v>753655</v>
      </c>
      <c r="C67" s="430">
        <f t="shared" si="11"/>
        <v>529508</v>
      </c>
      <c r="D67" s="430">
        <f t="shared" si="11"/>
        <v>380997.1499999999</v>
      </c>
      <c r="E67" s="431">
        <f t="shared" si="11"/>
        <v>449752</v>
      </c>
      <c r="F67" s="431">
        <f t="shared" si="11"/>
        <v>55684</v>
      </c>
      <c r="G67" s="430">
        <f t="shared" si="11"/>
        <v>-12413</v>
      </c>
      <c r="H67" s="430">
        <f t="shared" si="11"/>
        <v>458790</v>
      </c>
      <c r="I67" s="430">
        <f t="shared" si="11"/>
        <v>279190</v>
      </c>
      <c r="J67" s="430">
        <f t="shared" si="11"/>
        <v>1669831.3556999997</v>
      </c>
      <c r="K67" s="430">
        <f t="shared" si="11"/>
        <v>1739213.3656999997</v>
      </c>
      <c r="L67" s="430">
        <f t="shared" si="11"/>
        <v>886844.3656999997</v>
      </c>
      <c r="M67" s="430">
        <f t="shared" si="11"/>
        <v>694844.3656999997</v>
      </c>
      <c r="N67" s="430">
        <f t="shared" si="11"/>
        <v>651244.3656999997</v>
      </c>
      <c r="O67" s="430">
        <f t="shared" si="11"/>
        <v>956744.3656999997</v>
      </c>
      <c r="P67" s="430">
        <f t="shared" si="11"/>
        <v>1268344.3656999997</v>
      </c>
      <c r="Q67" s="430">
        <f t="shared" si="11"/>
        <v>1293744.3656999997</v>
      </c>
      <c r="R67" s="432"/>
      <c r="S67" s="433">
        <f>+S4+S65</f>
        <v>6627842.25</v>
      </c>
    </row>
    <row r="68" spans="2:18" ht="15.75">
      <c r="B68" s="434"/>
      <c r="C68" s="434"/>
      <c r="D68" s="434"/>
      <c r="E68" s="435"/>
      <c r="F68" s="435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395"/>
    </row>
    <row r="69" spans="2:18" ht="15.75">
      <c r="B69" s="434"/>
      <c r="C69" s="434"/>
      <c r="D69" s="434"/>
      <c r="E69" s="435"/>
      <c r="F69" s="435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</row>
    <row r="70" spans="1:18" ht="15.75">
      <c r="A70" s="436"/>
      <c r="B70" s="434"/>
      <c r="C70" s="434"/>
      <c r="D70" s="434">
        <v>-324868.5</v>
      </c>
      <c r="E70" s="435"/>
      <c r="F70" s="435"/>
      <c r="G70" s="437">
        <f>+G63-G19-G21+182744</f>
        <v>2424704</v>
      </c>
      <c r="H70" s="434">
        <f>604789-126000</f>
        <v>478789</v>
      </c>
      <c r="I70" s="434"/>
      <c r="J70" s="434"/>
      <c r="K70" s="434"/>
      <c r="L70" s="434"/>
      <c r="M70" s="434"/>
      <c r="N70" s="434"/>
      <c r="O70" s="434"/>
      <c r="P70" s="434"/>
      <c r="Q70" s="434"/>
      <c r="R70" s="434"/>
    </row>
    <row r="71" spans="1:18" ht="15.75">
      <c r="A71" s="438"/>
      <c r="B71" s="434"/>
      <c r="C71" s="434"/>
      <c r="D71" s="434">
        <v>-277518.03</v>
      </c>
      <c r="E71" s="435"/>
      <c r="F71" s="435"/>
      <c r="G71" s="434">
        <f>+G70+59831</f>
        <v>2484535</v>
      </c>
      <c r="H71" s="434">
        <f>+H67-H70</f>
        <v>-19999</v>
      </c>
      <c r="I71" s="434"/>
      <c r="J71" s="434"/>
      <c r="K71" s="434"/>
      <c r="L71" s="434"/>
      <c r="M71" s="434"/>
      <c r="N71" s="434"/>
      <c r="O71" s="434"/>
      <c r="P71" s="434"/>
      <c r="Q71" s="434"/>
      <c r="R71" s="434"/>
    </row>
    <row r="72" spans="1:18" ht="15.75">
      <c r="A72" s="438"/>
      <c r="B72" s="434"/>
      <c r="C72" s="434"/>
      <c r="D72" s="434">
        <f>SUM(D70:D71)</f>
        <v>-602386.53</v>
      </c>
      <c r="E72" s="435"/>
      <c r="F72" s="435"/>
      <c r="G72" s="434">
        <v>2306780</v>
      </c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</row>
    <row r="73" spans="1:18" ht="15.75">
      <c r="A73" s="438"/>
      <c r="B73" s="434"/>
      <c r="C73" s="434"/>
      <c r="D73" s="434">
        <f>+D72-D67</f>
        <v>-983383.6799999999</v>
      </c>
      <c r="E73" s="435"/>
      <c r="F73" s="435"/>
      <c r="G73" s="434">
        <f>+G71-G72</f>
        <v>177755</v>
      </c>
      <c r="H73" s="434">
        <v>161606</v>
      </c>
      <c r="I73" s="434"/>
      <c r="J73" s="434"/>
      <c r="K73" s="434"/>
      <c r="L73" s="434"/>
      <c r="M73" s="434"/>
      <c r="N73" s="434"/>
      <c r="O73" s="434"/>
      <c r="P73" s="434"/>
      <c r="Q73" s="434"/>
      <c r="R73" s="434"/>
    </row>
    <row r="74" spans="4:10" ht="15.75">
      <c r="D74" s="364">
        <v>22371.02</v>
      </c>
      <c r="H74" s="364">
        <v>-3960</v>
      </c>
      <c r="J74" s="434"/>
    </row>
    <row r="75" spans="4:8" ht="15.75">
      <c r="D75" s="434">
        <f>+D73+D74</f>
        <v>-961012.6599999999</v>
      </c>
      <c r="H75" s="364">
        <v>-12560</v>
      </c>
    </row>
    <row r="76" ht="15.75">
      <c r="H76" s="434">
        <f>+H73+H74+H75</f>
        <v>145086</v>
      </c>
    </row>
    <row r="77" spans="7:8" ht="15.75">
      <c r="G77" s="439"/>
      <c r="H77" s="434">
        <f>+G67-H76</f>
        <v>-157499</v>
      </c>
    </row>
    <row r="78" ht="15.75">
      <c r="H78" s="364">
        <v>604789</v>
      </c>
    </row>
    <row r="79" ht="15.75">
      <c r="H79" s="439">
        <f>+H67-H78</f>
        <v>-145999</v>
      </c>
    </row>
    <row r="81" ht="15.75">
      <c r="H81" s="364">
        <v>94976</v>
      </c>
    </row>
    <row r="82" ht="15.75">
      <c r="H82" s="439">
        <f>+H79-H81</f>
        <v>-240975</v>
      </c>
    </row>
  </sheetData>
  <printOptions/>
  <pageMargins left="0.25" right="0.25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Huss, Joe</dc:creator>
  <cp:keywords/>
  <dc:description/>
  <cp:lastModifiedBy>Monahan, Nate</cp:lastModifiedBy>
  <cp:lastPrinted>2019-04-26T15:10:29Z</cp:lastPrinted>
  <dcterms:created xsi:type="dcterms:W3CDTF">2018-06-05T17:39:23Z</dcterms:created>
  <dcterms:modified xsi:type="dcterms:W3CDTF">2019-11-12T19:07:32Z</dcterms:modified>
  <cp:category/>
  <cp:version/>
  <cp:contentType/>
  <cp:contentStatus/>
</cp:coreProperties>
</file>